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official_demodocs\companies\"/>
    </mc:Choice>
  </mc:AlternateContent>
  <bookViews>
    <workbookView xWindow="0" yWindow="0" windowWidth="38400" windowHeight="19290"/>
  </bookViews>
  <sheets>
    <sheet name="Sheet1" sheetId="1" r:id="rId1"/>
  </sheets>
  <definedNames>
    <definedName name="GeniusQuery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H19" i="1"/>
  <c r="I19" i="1"/>
  <c r="J19" i="1"/>
  <c r="C5" i="1"/>
  <c r="J7" i="1" l="1"/>
  <c r="I7" i="1"/>
  <c r="H7" i="1"/>
  <c r="G7" i="1"/>
  <c r="F12" i="1"/>
  <c r="J12" i="1"/>
  <c r="G12" i="1"/>
  <c r="C12" i="1"/>
  <c r="F11" i="1"/>
  <c r="J11" i="1"/>
  <c r="G11" i="1"/>
  <c r="C11" i="1"/>
  <c r="F9" i="1"/>
  <c r="J9" i="1"/>
  <c r="G9" i="1"/>
  <c r="C9" i="1"/>
  <c r="I8" i="1"/>
  <c r="G8" i="1"/>
  <c r="E8" i="1"/>
  <c r="C8" i="1"/>
  <c r="D71" i="1"/>
  <c r="H71" i="1"/>
  <c r="B73" i="1"/>
  <c r="F73" i="1"/>
  <c r="J73" i="1"/>
  <c r="D75" i="1"/>
  <c r="H75" i="1"/>
  <c r="B77" i="1"/>
  <c r="F77" i="1"/>
  <c r="J77" i="1"/>
  <c r="D79" i="1"/>
  <c r="H79" i="1"/>
  <c r="C80" i="1"/>
  <c r="G80" i="1"/>
  <c r="B83" i="1"/>
  <c r="F83" i="1"/>
  <c r="J83" i="1"/>
  <c r="E84" i="1"/>
  <c r="I84" i="1"/>
  <c r="E71" i="1"/>
  <c r="I71" i="1"/>
  <c r="E73" i="1"/>
  <c r="I73" i="1"/>
  <c r="E75" i="1"/>
  <c r="I75" i="1"/>
  <c r="E77" i="1"/>
  <c r="I77" i="1"/>
  <c r="E79" i="1"/>
  <c r="I79" i="1"/>
  <c r="D80" i="1"/>
  <c r="H80" i="1"/>
  <c r="C83" i="1"/>
  <c r="G83" i="1"/>
  <c r="B84" i="1"/>
  <c r="H84" i="1"/>
  <c r="J84" i="1"/>
  <c r="H70" i="1"/>
  <c r="D70" i="1"/>
  <c r="I70" i="1"/>
  <c r="E70" i="1"/>
  <c r="B47" i="1"/>
  <c r="F47" i="1"/>
  <c r="J47" i="1"/>
  <c r="E48" i="1"/>
  <c r="I48" i="1"/>
  <c r="D49" i="1"/>
  <c r="H49" i="1"/>
  <c r="B51" i="1"/>
  <c r="F51" i="1"/>
  <c r="J51" i="1"/>
  <c r="E52" i="1"/>
  <c r="I52" i="1"/>
  <c r="D53" i="1"/>
  <c r="H53" i="1"/>
  <c r="B57" i="1"/>
  <c r="J57" i="1"/>
  <c r="I58" i="1"/>
  <c r="I60" i="1"/>
  <c r="H61" i="1"/>
  <c r="G62" i="1"/>
  <c r="F63" i="1"/>
  <c r="C47" i="1"/>
  <c r="G47" i="1"/>
  <c r="B48" i="1"/>
  <c r="F48" i="1"/>
  <c r="J48" i="1"/>
  <c r="E49" i="1"/>
  <c r="I49" i="1"/>
  <c r="E51" i="1"/>
  <c r="I51" i="1"/>
  <c r="D52" i="1"/>
  <c r="H52" i="1"/>
  <c r="C53" i="1"/>
  <c r="G53" i="1"/>
  <c r="C57" i="1"/>
  <c r="G57" i="1"/>
  <c r="B58" i="1"/>
  <c r="F58" i="1"/>
  <c r="J58" i="1"/>
  <c r="D60" i="1"/>
  <c r="H60" i="1"/>
  <c r="C61" i="1"/>
  <c r="G61" i="1"/>
  <c r="B62" i="1"/>
  <c r="F62" i="1"/>
  <c r="J62" i="1"/>
  <c r="E63" i="1"/>
  <c r="I63" i="1"/>
  <c r="H57" i="1"/>
  <c r="E58" i="1"/>
  <c r="G60" i="1"/>
  <c r="F61" i="1"/>
  <c r="E62" i="1"/>
  <c r="D63" i="1"/>
  <c r="I46" i="1"/>
  <c r="E46" i="1"/>
  <c r="J46" i="1"/>
  <c r="F46" i="1"/>
  <c r="B46" i="1"/>
  <c r="D12" i="1"/>
  <c r="H12" i="1"/>
  <c r="E12" i="1"/>
  <c r="I12" i="1"/>
  <c r="D11" i="1"/>
  <c r="H11" i="1"/>
  <c r="E11" i="1"/>
  <c r="I11" i="1"/>
  <c r="D9" i="1"/>
  <c r="E9" i="1"/>
  <c r="J8" i="1"/>
  <c r="F8" i="1"/>
  <c r="B71" i="1"/>
  <c r="J71" i="1"/>
  <c r="H73" i="1"/>
  <c r="F75" i="1"/>
  <c r="D77" i="1"/>
  <c r="B79" i="1"/>
  <c r="J79" i="1"/>
  <c r="I80" i="1"/>
  <c r="H83" i="1"/>
  <c r="G84" i="1"/>
  <c r="G71" i="1"/>
  <c r="G73" i="1"/>
  <c r="G75" i="1"/>
  <c r="G77" i="1"/>
  <c r="G79" i="1"/>
  <c r="F80" i="1"/>
  <c r="E83" i="1"/>
  <c r="D84" i="1"/>
  <c r="J70" i="1"/>
  <c r="B70" i="1"/>
  <c r="C70" i="1"/>
  <c r="H47" i="1"/>
  <c r="G48" i="1"/>
  <c r="F49" i="1"/>
  <c r="D51" i="1"/>
  <c r="C52" i="1"/>
  <c r="B53" i="1"/>
  <c r="J53" i="1"/>
  <c r="G58" i="1"/>
  <c r="D61" i="1"/>
  <c r="B63" i="1"/>
  <c r="E47" i="1"/>
  <c r="D48" i="1"/>
  <c r="C49" i="1"/>
  <c r="C51" i="1"/>
  <c r="B52" i="1"/>
  <c r="J52" i="1"/>
  <c r="I53" i="1"/>
  <c r="I57" i="1"/>
  <c r="H58" i="1"/>
  <c r="F60" i="1"/>
  <c r="E61" i="1"/>
  <c r="D62" i="1"/>
  <c r="C63" i="1"/>
  <c r="D57" i="1"/>
  <c r="E60" i="1"/>
  <c r="J61" i="1"/>
  <c r="J63" i="1"/>
  <c r="C46" i="1"/>
  <c r="D46" i="1"/>
  <c r="H9" i="1"/>
  <c r="I9" i="1"/>
  <c r="H8" i="1"/>
  <c r="D8" i="1"/>
  <c r="F71" i="1"/>
  <c r="D73" i="1"/>
  <c r="B75" i="1"/>
  <c r="J75" i="1"/>
  <c r="H77" i="1"/>
  <c r="F79" i="1"/>
  <c r="E80" i="1"/>
  <c r="D83" i="1"/>
  <c r="C84" i="1"/>
  <c r="C71" i="1"/>
  <c r="C73" i="1"/>
  <c r="C75" i="1"/>
  <c r="C77" i="1"/>
  <c r="C79" i="1"/>
  <c r="B80" i="1"/>
  <c r="J80" i="1"/>
  <c r="I83" i="1"/>
  <c r="F84" i="1"/>
  <c r="F70" i="1"/>
  <c r="G70" i="1"/>
  <c r="D47" i="1"/>
  <c r="C48" i="1"/>
  <c r="B49" i="1"/>
  <c r="J49" i="1"/>
  <c r="H51" i="1"/>
  <c r="G52" i="1"/>
  <c r="F53" i="1"/>
  <c r="F57" i="1"/>
  <c r="C60" i="1"/>
  <c r="C62" i="1"/>
  <c r="H63" i="1"/>
  <c r="I47" i="1"/>
  <c r="H48" i="1"/>
  <c r="G49" i="1"/>
  <c r="G51" i="1"/>
  <c r="F52" i="1"/>
  <c r="E53" i="1"/>
  <c r="E57" i="1"/>
  <c r="D58" i="1"/>
  <c r="B60" i="1"/>
  <c r="J60" i="1"/>
  <c r="I61" i="1"/>
  <c r="H62" i="1"/>
  <c r="G63" i="1"/>
  <c r="C58" i="1"/>
  <c r="B61" i="1"/>
  <c r="I62" i="1"/>
  <c r="G46" i="1"/>
  <c r="H46" i="1"/>
  <c r="D10" i="1"/>
  <c r="H10" i="1"/>
  <c r="E10" i="1"/>
  <c r="I10" i="1"/>
  <c r="F10" i="1"/>
  <c r="J10" i="1"/>
  <c r="G10" i="1"/>
  <c r="C10" i="1"/>
  <c r="F13" i="1"/>
  <c r="J13" i="1"/>
  <c r="G13" i="1"/>
  <c r="H13" i="1"/>
  <c r="E13" i="1"/>
  <c r="I13" i="1"/>
  <c r="B85" i="1"/>
  <c r="F85" i="1"/>
  <c r="J85" i="1"/>
  <c r="G85" i="1"/>
  <c r="I85" i="1"/>
  <c r="D85" i="1"/>
  <c r="H85" i="1"/>
  <c r="C85" i="1"/>
  <c r="E85" i="1"/>
  <c r="D81" i="1"/>
  <c r="H81" i="1"/>
  <c r="C82" i="1"/>
  <c r="G82" i="1"/>
  <c r="E81" i="1"/>
  <c r="I81" i="1"/>
  <c r="D82" i="1"/>
  <c r="H82" i="1"/>
  <c r="B81" i="1"/>
  <c r="F81" i="1"/>
  <c r="J81" i="1"/>
  <c r="E82" i="1"/>
  <c r="I82" i="1"/>
  <c r="C81" i="1"/>
  <c r="G81" i="1"/>
  <c r="B82" i="1"/>
  <c r="F82" i="1"/>
  <c r="J82" i="1"/>
  <c r="C78" i="1"/>
  <c r="G78" i="1"/>
  <c r="B78" i="1"/>
  <c r="F78" i="1"/>
  <c r="J78" i="1"/>
  <c r="E78" i="1"/>
  <c r="I78" i="1"/>
  <c r="D78" i="1"/>
  <c r="H78" i="1"/>
  <c r="E76" i="1"/>
  <c r="I76" i="1"/>
  <c r="B76" i="1"/>
  <c r="F76" i="1"/>
  <c r="J76" i="1"/>
  <c r="C76" i="1"/>
  <c r="G76" i="1"/>
  <c r="D76" i="1"/>
  <c r="H76" i="1"/>
  <c r="C74" i="1"/>
  <c r="G74" i="1"/>
  <c r="B74" i="1"/>
  <c r="F74" i="1"/>
  <c r="J74" i="1"/>
  <c r="E74" i="1"/>
  <c r="I74" i="1"/>
  <c r="D74" i="1"/>
  <c r="H74" i="1"/>
  <c r="E72" i="1"/>
  <c r="I72" i="1"/>
  <c r="B72" i="1"/>
  <c r="F72" i="1"/>
  <c r="J72" i="1"/>
  <c r="C72" i="1"/>
  <c r="G72" i="1"/>
  <c r="D72" i="1"/>
  <c r="H72" i="1"/>
  <c r="I64" i="1"/>
  <c r="F65" i="1"/>
  <c r="E66" i="1"/>
  <c r="D64" i="1"/>
  <c r="H64" i="1"/>
  <c r="C65" i="1"/>
  <c r="G65" i="1"/>
  <c r="B66" i="1"/>
  <c r="F66" i="1"/>
  <c r="J66" i="1"/>
  <c r="E64" i="1"/>
  <c r="D65" i="1"/>
  <c r="C66" i="1"/>
  <c r="C64" i="1"/>
  <c r="B65" i="1"/>
  <c r="J65" i="1"/>
  <c r="I66" i="1"/>
  <c r="B64" i="1"/>
  <c r="F64" i="1"/>
  <c r="J64" i="1"/>
  <c r="E65" i="1"/>
  <c r="I65" i="1"/>
  <c r="D66" i="1"/>
  <c r="H66" i="1"/>
  <c r="G64" i="1"/>
  <c r="H65" i="1"/>
  <c r="G66" i="1"/>
  <c r="H59" i="1"/>
  <c r="C59" i="1"/>
  <c r="G59" i="1"/>
  <c r="B59" i="1"/>
  <c r="J59" i="1"/>
  <c r="D59" i="1"/>
  <c r="E59" i="1"/>
  <c r="I59" i="1"/>
  <c r="F59" i="1"/>
  <c r="E54" i="1"/>
  <c r="I54" i="1"/>
  <c r="F55" i="1"/>
  <c r="C56" i="1"/>
  <c r="D54" i="1"/>
  <c r="H54" i="1"/>
  <c r="C55" i="1"/>
  <c r="G55" i="1"/>
  <c r="B56" i="1"/>
  <c r="F56" i="1"/>
  <c r="J56" i="1"/>
  <c r="D55" i="1"/>
  <c r="E56" i="1"/>
  <c r="C54" i="1"/>
  <c r="G54" i="1"/>
  <c r="B55" i="1"/>
  <c r="J55" i="1"/>
  <c r="I56" i="1"/>
  <c r="B54" i="1"/>
  <c r="F54" i="1"/>
  <c r="J54" i="1"/>
  <c r="E55" i="1"/>
  <c r="I55" i="1"/>
  <c r="D56" i="1"/>
  <c r="H56" i="1"/>
  <c r="H55" i="1"/>
  <c r="G56" i="1"/>
  <c r="C50" i="1"/>
  <c r="G50" i="1"/>
  <c r="D50" i="1"/>
  <c r="H50" i="1"/>
  <c r="E50" i="1"/>
  <c r="I50" i="1"/>
  <c r="B50" i="1"/>
  <c r="F50" i="1"/>
  <c r="J50" i="1"/>
  <c r="B43" i="1"/>
  <c r="G67" i="1" l="1"/>
  <c r="H67" i="1"/>
  <c r="D67" i="1"/>
  <c r="I67" i="1"/>
  <c r="C67" i="1"/>
  <c r="J67" i="1"/>
  <c r="F67" i="1"/>
  <c r="E67" i="1"/>
  <c r="J88" i="1"/>
  <c r="F88" i="1"/>
  <c r="I88" i="1"/>
  <c r="E88" i="1"/>
  <c r="H88" i="1"/>
  <c r="D88" i="1"/>
  <c r="G88" i="1"/>
  <c r="E87" i="1"/>
  <c r="C87" i="1"/>
  <c r="H87" i="1"/>
  <c r="D87" i="1"/>
  <c r="I87" i="1"/>
  <c r="G87" i="1"/>
  <c r="J87" i="1"/>
  <c r="F87" i="1"/>
  <c r="E16" i="1"/>
  <c r="F16" i="1"/>
  <c r="F86" i="1"/>
  <c r="D16" i="1"/>
  <c r="I16" i="1"/>
  <c r="D86" i="1"/>
  <c r="G86" i="1"/>
  <c r="D13" i="1"/>
  <c r="H16" i="1"/>
  <c r="G16" i="1"/>
  <c r="C16" i="1"/>
  <c r="J16" i="1"/>
  <c r="J86" i="1"/>
  <c r="H86" i="1"/>
  <c r="I86" i="1"/>
  <c r="E86" i="1"/>
  <c r="C13" i="1"/>
  <c r="G14" i="1"/>
  <c r="G15" i="1" s="1"/>
  <c r="J14" i="1"/>
  <c r="J15" i="1" s="1"/>
  <c r="F14" i="1"/>
  <c r="F15" i="1" s="1"/>
  <c r="I14" i="1"/>
  <c r="E14" i="1"/>
  <c r="E15" i="1" s="1"/>
  <c r="H14" i="1"/>
  <c r="H15" i="1" s="1"/>
  <c r="D14" i="1"/>
  <c r="D15" i="1" s="1"/>
  <c r="D17" i="1" s="1"/>
  <c r="C14" i="1"/>
  <c r="E17" i="1"/>
  <c r="C31" i="1"/>
  <c r="G31" i="1"/>
  <c r="B31" i="1"/>
  <c r="F31" i="1"/>
  <c r="J31" i="1"/>
  <c r="D32" i="1"/>
  <c r="H32" i="1"/>
  <c r="B34" i="1"/>
  <c r="F34" i="1"/>
  <c r="J34" i="1"/>
  <c r="D36" i="1"/>
  <c r="H36" i="1"/>
  <c r="B38" i="1"/>
  <c r="F38" i="1"/>
  <c r="J38" i="1"/>
  <c r="E39" i="1"/>
  <c r="I39" i="1"/>
  <c r="D42" i="1"/>
  <c r="H42" i="1"/>
  <c r="C32" i="1"/>
  <c r="G32" i="1"/>
  <c r="C34" i="1"/>
  <c r="G34" i="1"/>
  <c r="C36" i="1"/>
  <c r="G36" i="1"/>
  <c r="C38" i="1"/>
  <c r="B39" i="1"/>
  <c r="J39" i="1"/>
  <c r="G42" i="1"/>
  <c r="I38" i="1"/>
  <c r="H39" i="1"/>
  <c r="E31" i="1"/>
  <c r="I31" i="1"/>
  <c r="D31" i="1"/>
  <c r="H31" i="1"/>
  <c r="B32" i="1"/>
  <c r="F32" i="1"/>
  <c r="J32" i="1"/>
  <c r="D34" i="1"/>
  <c r="H34" i="1"/>
  <c r="B36" i="1"/>
  <c r="F36" i="1"/>
  <c r="J36" i="1"/>
  <c r="D38" i="1"/>
  <c r="H38" i="1"/>
  <c r="C39" i="1"/>
  <c r="G39" i="1"/>
  <c r="B42" i="1"/>
  <c r="F42" i="1"/>
  <c r="J42" i="1"/>
  <c r="E32" i="1"/>
  <c r="I32" i="1"/>
  <c r="E34" i="1"/>
  <c r="I34" i="1"/>
  <c r="E36" i="1"/>
  <c r="I36" i="1"/>
  <c r="G38" i="1"/>
  <c r="F39" i="1"/>
  <c r="C42" i="1"/>
  <c r="E38" i="1"/>
  <c r="D39" i="1"/>
  <c r="E42" i="1"/>
  <c r="I42" i="1"/>
  <c r="D26" i="1"/>
  <c r="H26" i="1"/>
  <c r="C27" i="1"/>
  <c r="G27" i="1"/>
  <c r="B28" i="1"/>
  <c r="F28" i="1"/>
  <c r="J28" i="1"/>
  <c r="E29" i="1"/>
  <c r="I29" i="1"/>
  <c r="D30" i="1"/>
  <c r="H30" i="1"/>
  <c r="C26" i="1"/>
  <c r="G26" i="1"/>
  <c r="B27" i="1"/>
  <c r="F27" i="1"/>
  <c r="J27" i="1"/>
  <c r="E28" i="1"/>
  <c r="I28" i="1"/>
  <c r="D29" i="1"/>
  <c r="H29" i="1"/>
  <c r="C30" i="1"/>
  <c r="G30" i="1"/>
  <c r="B26" i="1"/>
  <c r="F26" i="1"/>
  <c r="J26" i="1"/>
  <c r="E27" i="1"/>
  <c r="I27" i="1"/>
  <c r="D28" i="1"/>
  <c r="H28" i="1"/>
  <c r="C29" i="1"/>
  <c r="G29" i="1"/>
  <c r="B30" i="1"/>
  <c r="F30" i="1"/>
  <c r="J30" i="1"/>
  <c r="E26" i="1"/>
  <c r="I26" i="1"/>
  <c r="D27" i="1"/>
  <c r="H27" i="1"/>
  <c r="C28" i="1"/>
  <c r="G28" i="1"/>
  <c r="B29" i="1"/>
  <c r="F29" i="1"/>
  <c r="J29" i="1"/>
  <c r="E30" i="1"/>
  <c r="I30" i="1"/>
  <c r="E43" i="1"/>
  <c r="I43" i="1"/>
  <c r="F43" i="1"/>
  <c r="D43" i="1"/>
  <c r="C43" i="1"/>
  <c r="G43" i="1"/>
  <c r="J43" i="1"/>
  <c r="H43" i="1"/>
  <c r="D40" i="1"/>
  <c r="H40" i="1"/>
  <c r="C41" i="1"/>
  <c r="G41" i="1"/>
  <c r="E40" i="1"/>
  <c r="D41" i="1"/>
  <c r="C40" i="1"/>
  <c r="B41" i="1"/>
  <c r="J41" i="1"/>
  <c r="B40" i="1"/>
  <c r="F40" i="1"/>
  <c r="J40" i="1"/>
  <c r="E41" i="1"/>
  <c r="I41" i="1"/>
  <c r="I40" i="1"/>
  <c r="H41" i="1"/>
  <c r="G40" i="1"/>
  <c r="F41" i="1"/>
  <c r="C37" i="1"/>
  <c r="G37" i="1"/>
  <c r="D37" i="1"/>
  <c r="H37" i="1"/>
  <c r="E37" i="1"/>
  <c r="I37" i="1"/>
  <c r="B37" i="1"/>
  <c r="F37" i="1"/>
  <c r="J37" i="1"/>
  <c r="C35" i="1"/>
  <c r="G35" i="1"/>
  <c r="B35" i="1"/>
  <c r="F35" i="1"/>
  <c r="J35" i="1"/>
  <c r="E35" i="1"/>
  <c r="I35" i="1"/>
  <c r="D35" i="1"/>
  <c r="H35" i="1"/>
  <c r="E33" i="1"/>
  <c r="I33" i="1"/>
  <c r="B33" i="1"/>
  <c r="F33" i="1"/>
  <c r="J33" i="1"/>
  <c r="C33" i="1"/>
  <c r="G33" i="1"/>
  <c r="D33" i="1"/>
  <c r="H33" i="1"/>
  <c r="I22" i="1" l="1"/>
  <c r="J22" i="1"/>
  <c r="C17" i="1"/>
  <c r="C19" i="1" s="1"/>
  <c r="C15" i="1"/>
  <c r="I17" i="1"/>
  <c r="I15" i="1"/>
  <c r="J17" i="1"/>
  <c r="J18" i="1" s="1"/>
  <c r="F22" i="1"/>
  <c r="F17" i="1"/>
  <c r="F18" i="1" s="1"/>
  <c r="G17" i="1"/>
  <c r="G18" i="1" s="1"/>
  <c r="G22" i="1"/>
  <c r="H22" i="1"/>
  <c r="H17" i="1"/>
  <c r="H18" i="1" s="1"/>
  <c r="H20" i="1"/>
  <c r="E21" i="1"/>
  <c r="J20" i="1"/>
  <c r="G21" i="1"/>
  <c r="G20" i="1"/>
  <c r="D21" i="1"/>
  <c r="F20" i="1"/>
  <c r="C21" i="1"/>
  <c r="F21" i="1"/>
  <c r="I20" i="1"/>
  <c r="E19" i="1"/>
  <c r="F19" i="1"/>
  <c r="G19" i="1"/>
  <c r="I18" i="1"/>
  <c r="D19" i="1"/>
</calcChain>
</file>

<file path=xl/sharedStrings.xml><?xml version="1.0" encoding="utf-8"?>
<sst xmlns="http://schemas.openxmlformats.org/spreadsheetml/2006/main" count="59" uniqueCount="55">
  <si>
    <t>Symbol</t>
  </si>
  <si>
    <t>VOICE</t>
  </si>
  <si>
    <t>Divide by</t>
  </si>
  <si>
    <t>Revenues</t>
  </si>
  <si>
    <t>GrossProfit</t>
  </si>
  <si>
    <t>EBITDA</t>
  </si>
  <si>
    <t>EBIT</t>
  </si>
  <si>
    <t>EBT</t>
  </si>
  <si>
    <t>Earnings</t>
  </si>
  <si>
    <t>NonCurrentAssets</t>
  </si>
  <si>
    <t>CurrentAssets</t>
  </si>
  <si>
    <t>TotalAssets</t>
  </si>
  <si>
    <t>Equity</t>
  </si>
  <si>
    <t>NonCurrentLiabilities</t>
  </si>
  <si>
    <t>CurrentLiabilities</t>
  </si>
  <si>
    <t>TotalLiabilities</t>
  </si>
  <si>
    <t>EquityAndLiabilities</t>
  </si>
  <si>
    <t>WCOperations</t>
  </si>
  <si>
    <t>COBIT</t>
  </si>
  <si>
    <t>NetCashFromOA</t>
  </si>
  <si>
    <t>NetCashFromIA</t>
  </si>
  <si>
    <t>NetCashFromFA</t>
  </si>
  <si>
    <t>ChangeInCash</t>
  </si>
  <si>
    <t>CashEnd</t>
  </si>
  <si>
    <t>Keys</t>
  </si>
  <si>
    <t>Income Statement</t>
  </si>
  <si>
    <t>Q1</t>
  </si>
  <si>
    <t>Q2</t>
  </si>
  <si>
    <t>Q3</t>
  </si>
  <si>
    <t>Q4</t>
  </si>
  <si>
    <t>NetFinancingCost</t>
  </si>
  <si>
    <t>Balance Sheet</t>
  </si>
  <si>
    <t>Cash Flow</t>
  </si>
  <si>
    <t>Multiples and other figures</t>
  </si>
  <si>
    <t>Stock Price</t>
  </si>
  <si>
    <t>Issued Shares</t>
  </si>
  <si>
    <t>Treasury Shares</t>
  </si>
  <si>
    <t>Outstanding Shares</t>
  </si>
  <si>
    <t>Market Cap</t>
  </si>
  <si>
    <t>NIBL</t>
  </si>
  <si>
    <t>Enterprise Value</t>
  </si>
  <si>
    <t>EV/EBITDA TTM</t>
  </si>
  <si>
    <t>EV/EBITDA FTM</t>
  </si>
  <si>
    <t>P/E TTM</t>
  </si>
  <si>
    <t>P/E FTM</t>
  </si>
  <si>
    <t>P/Sales TTM</t>
  </si>
  <si>
    <t>Issued Shares Latest Date</t>
  </si>
  <si>
    <t>Own Shares Latest Information Date For All Companies</t>
  </si>
  <si>
    <t>Own Shares Latest Information Date For This Company</t>
  </si>
  <si>
    <t>Financials currency</t>
  </si>
  <si>
    <t>Equity and Liabilities - Total Assets</t>
  </si>
  <si>
    <t>Cash at beginning - Cash end previous</t>
  </si>
  <si>
    <t>CashEnd - Cash</t>
  </si>
  <si>
    <t>Change in cash - (Cash now - Cash previous) + Currency change</t>
  </si>
  <si>
    <t xml:space="preserve">           KODIAK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</si>
</sst>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1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3" fontId="0" fillId="2" borderId="2" xfId="0" applyNumberFormat="1" applyFill="1" applyBorder="1" applyAlignment="1">
      <alignment horizontal="right"/>
    </xf>
    <xf numFmtId="14" fontId="1" fillId="0" borderId="1" xfId="0" applyNumberFormat="1" applyFont="1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0" fontId="5" fillId="0" borderId="0" xfId="0" applyFont="1" applyAlignment="1">
      <alignment vertical="center"/>
    </xf>
    <xf numFmtId="0" fontId="1" fillId="3" borderId="3" xfId="0" applyFont="1" applyFill="1" applyBorder="1"/>
    <xf numFmtId="0" fontId="0" fillId="3" borderId="4" xfId="0" applyFill="1" applyBorder="1" applyAlignment="1">
      <alignment horizontal="right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76200</xdr:rowOff>
    </xdr:from>
    <xdr:to>
      <xdr:col>1</xdr:col>
      <xdr:colOff>723829</xdr:colOff>
      <xdr:row>0</xdr:row>
      <xdr:rowOff>638105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tabSelected="1" topLeftCell="B1" workbookViewId="0">
      <selection activeCell="F20" sqref="F20"/>
    </sheetView>
  </sheetViews>
  <sheetFormatPr defaultRowHeight="15" outlineLevelRow="1" outlineLevelCol="1" x14ac:dyDescent="0.25"/>
  <cols>
    <col min="1" max="1" width="20.28515625" style="13" hidden="1" customWidth="1" outlineLevel="1"/>
    <col min="2" max="2" width="57.28515625" bestFit="1" customWidth="1" collapsed="1"/>
    <col min="3" max="10" width="11.5703125" customWidth="1"/>
  </cols>
  <sheetData>
    <row r="1" spans="2:10" ht="54" customHeight="1" x14ac:dyDescent="0.25">
      <c r="B1" s="24" t="s">
        <v>54</v>
      </c>
    </row>
    <row r="3" spans="2:10" x14ac:dyDescent="0.25">
      <c r="B3" s="25" t="s">
        <v>0</v>
      </c>
      <c r="C3" s="26" t="s">
        <v>1</v>
      </c>
    </row>
    <row r="4" spans="2:10" x14ac:dyDescent="0.25">
      <c r="B4" s="25" t="s">
        <v>2</v>
      </c>
      <c r="C4" s="26">
        <v>1000000</v>
      </c>
    </row>
    <row r="5" spans="2:10" x14ac:dyDescent="0.25">
      <c r="B5" s="25" t="s">
        <v>49</v>
      </c>
      <c r="C5" s="26" t="str">
        <f>_xll.FinancialsCurrency(C3)</f>
        <v>ISK</v>
      </c>
    </row>
    <row r="7" spans="2:10" ht="15.75" x14ac:dyDescent="0.25">
      <c r="B7" s="3" t="s">
        <v>33</v>
      </c>
      <c r="C7" s="19">
        <v>41729</v>
      </c>
      <c r="D7" s="19">
        <v>41820</v>
      </c>
      <c r="E7" s="19">
        <v>41912</v>
      </c>
      <c r="F7" s="19">
        <v>42004</v>
      </c>
      <c r="G7" s="19">
        <f>C7+365</f>
        <v>42094</v>
      </c>
      <c r="H7" s="19">
        <f>D7+365</f>
        <v>42185</v>
      </c>
      <c r="I7" s="19">
        <f>E7+365</f>
        <v>42277</v>
      </c>
      <c r="J7" s="19">
        <f>F7+365</f>
        <v>42369</v>
      </c>
    </row>
    <row r="8" spans="2:10" x14ac:dyDescent="0.25">
      <c r="B8" s="4" t="s">
        <v>34</v>
      </c>
      <c r="C8">
        <f>_xll.LastPriceD($C$3,C7)</f>
        <v>30.9</v>
      </c>
      <c r="D8">
        <f>_xll.LastPriceD($C$3,D7)</f>
        <v>30.35</v>
      </c>
      <c r="E8">
        <f>_xll.LastPriceD($C$3,E7)</f>
        <v>32.6</v>
      </c>
      <c r="F8">
        <f>_xll.LastPriceD($C$3,F7)</f>
        <v>35</v>
      </c>
      <c r="G8">
        <f>_xll.LastPriceD($C$3,G7)</f>
        <v>37.6</v>
      </c>
      <c r="H8">
        <f>_xll.LastPriceD($C$3,H7)</f>
        <v>39.15</v>
      </c>
      <c r="I8">
        <f>_xll.LastPriceD($C$3,I7)</f>
        <v>42.1</v>
      </c>
      <c r="J8">
        <f>_xll.LastPriceD($C$3,J7)</f>
        <v>42.1</v>
      </c>
    </row>
    <row r="9" spans="2:10" hidden="1" outlineLevel="1" x14ac:dyDescent="0.25">
      <c r="B9" s="4" t="s">
        <v>46</v>
      </c>
      <c r="C9" s="7">
        <f>_xll.TotalIssueLatestDateSD($C$3,C7)</f>
        <v>41726</v>
      </c>
      <c r="D9" s="7">
        <f>_xll.TotalIssueLatestDateSD($C$3,D7)</f>
        <v>41817</v>
      </c>
      <c r="E9" s="7">
        <f>_xll.TotalIssueLatestDateSD($C$3,E7)</f>
        <v>41911</v>
      </c>
      <c r="F9" s="7">
        <f>_xll.TotalIssueLatestDateSD($C$3,F7)</f>
        <v>42003</v>
      </c>
      <c r="G9" s="7">
        <f>_xll.TotalIssueLatestDateSD($C$3,G7)</f>
        <v>42093</v>
      </c>
      <c r="H9" s="7">
        <f>_xll.TotalIssueLatestDateSD($C$3,H7)</f>
        <v>42184</v>
      </c>
      <c r="I9" s="7">
        <f>_xll.TotalIssueLatestDateSD($C$3,I7)</f>
        <v>42235</v>
      </c>
      <c r="J9" s="7">
        <f>_xll.TotalIssueLatestDateSD($C$3,J7)</f>
        <v>42235</v>
      </c>
    </row>
    <row r="10" spans="2:10" hidden="1" outlineLevel="1" x14ac:dyDescent="0.25">
      <c r="B10" s="4" t="s">
        <v>35</v>
      </c>
      <c r="C10">
        <f>_xll.TotalIssueD($C$3,C9)</f>
        <v>340764999</v>
      </c>
      <c r="D10">
        <f>_xll.TotalIssueD($C$3,D9)</f>
        <v>340764999</v>
      </c>
      <c r="E10">
        <f>_xll.TotalIssueD($C$3,E9)</f>
        <v>340764999</v>
      </c>
      <c r="F10">
        <f>_xll.TotalIssueD($C$3,F9)</f>
        <v>340764999</v>
      </c>
      <c r="G10">
        <f>_xll.TotalIssueD($C$3,G9)</f>
        <v>340764999</v>
      </c>
      <c r="H10">
        <f>_xll.TotalIssueD($C$3,H9)</f>
        <v>336138889</v>
      </c>
      <c r="I10">
        <f>_xll.TotalIssueD($C$3,I9)</f>
        <v>336138889</v>
      </c>
      <c r="J10">
        <f>_xll.TotalIssueD($C$3,J9)</f>
        <v>336138889</v>
      </c>
    </row>
    <row r="11" spans="2:10" hidden="1" outlineLevel="1" x14ac:dyDescent="0.25">
      <c r="B11" s="4" t="s">
        <v>47</v>
      </c>
      <c r="C11" s="7">
        <f>_xll.OwnSharesLatestDateD(C7)</f>
        <v>41725</v>
      </c>
      <c r="D11" s="7">
        <f>_xll.OwnSharesLatestDateD(D7)</f>
        <v>41816</v>
      </c>
      <c r="E11" s="7">
        <f>_xll.OwnSharesLatestDateD(E7)</f>
        <v>41907</v>
      </c>
      <c r="F11" s="7">
        <f>_xll.OwnSharesLatestDateD(F7)</f>
        <v>41991</v>
      </c>
      <c r="G11" s="7">
        <f>_xll.OwnSharesLatestDateD(G7)</f>
        <v>42089</v>
      </c>
      <c r="H11" s="7">
        <f>_xll.OwnSharesLatestDateD(H7)</f>
        <v>42180</v>
      </c>
      <c r="I11" s="7">
        <f>_xll.OwnSharesLatestDateD(I7)</f>
        <v>42229</v>
      </c>
      <c r="J11" s="7">
        <f>_xll.OwnSharesLatestDateD(J7)</f>
        <v>42229</v>
      </c>
    </row>
    <row r="12" spans="2:10" hidden="1" outlineLevel="1" x14ac:dyDescent="0.25">
      <c r="B12" s="4" t="s">
        <v>48</v>
      </c>
      <c r="C12" s="7" t="e">
        <f>_xll.OwnSharesLatestDateSD($C$3,C7)</f>
        <v>#NULL!</v>
      </c>
      <c r="D12" s="7" t="e">
        <f>_xll.OwnSharesLatestDateSD($C$3,D7)</f>
        <v>#NULL!</v>
      </c>
      <c r="E12" s="7">
        <f>_xll.OwnSharesLatestDateSD($C$3,E7)</f>
        <v>41907</v>
      </c>
      <c r="F12" s="7">
        <f>_xll.OwnSharesLatestDateSD($C$3,F7)</f>
        <v>41991</v>
      </c>
      <c r="G12" s="7">
        <f>_xll.OwnSharesLatestDateSD($C$3,G7)</f>
        <v>42089</v>
      </c>
      <c r="H12" s="7">
        <f>_xll.OwnSharesLatestDateSD($C$3,H7)</f>
        <v>42180</v>
      </c>
      <c r="I12" s="7">
        <f>_xll.OwnSharesLatestDateSD($C$3,I7)</f>
        <v>42229</v>
      </c>
      <c r="J12" s="7">
        <f>_xll.OwnSharesLatestDateSD($C$3,J7)</f>
        <v>42229</v>
      </c>
    </row>
    <row r="13" spans="2:10" hidden="1" outlineLevel="1" x14ac:dyDescent="0.25">
      <c r="B13" s="4" t="s">
        <v>36</v>
      </c>
      <c r="C13" t="e">
        <f>IF(C12&lt;C11,0,_xll.OwnSharesD($C$3,C12))</f>
        <v>#NULL!</v>
      </c>
      <c r="D13" t="e">
        <f>IF(D12&lt;D11,0,_xll.OwnSharesD($C$3,D12))</f>
        <v>#NULL!</v>
      </c>
      <c r="E13">
        <f>IF(E12&lt;E11,0,_xll.OwnSharesD($C$3,E12))</f>
        <v>825116</v>
      </c>
      <c r="F13">
        <f>IF(F12&lt;F11,0,_xll.OwnSharesD($C$3,F12))</f>
        <v>4059110</v>
      </c>
      <c r="G13">
        <f>IF(G12&lt;G11,0,_xll.OwnSharesD($C$3,G12))</f>
        <v>4965110</v>
      </c>
      <c r="H13">
        <f>IF(H12&lt;H11,0,_xll.OwnSharesD($C$3,H12))</f>
        <v>339000</v>
      </c>
      <c r="I13">
        <f>IF(I12&lt;I11,0,_xll.OwnSharesD($C$3,I12))</f>
        <v>1807495</v>
      </c>
      <c r="J13">
        <f>IF(J12&lt;J11,0,_xll.OwnSharesD($C$3,J12))</f>
        <v>1807495</v>
      </c>
    </row>
    <row r="14" spans="2:10" collapsed="1" x14ac:dyDescent="0.25">
      <c r="B14" s="4" t="s">
        <v>37</v>
      </c>
      <c r="C14" s="1" t="str">
        <f>IFERROR((C10-C13)/$C$4,"-")</f>
        <v>-</v>
      </c>
      <c r="D14" s="1" t="str">
        <f t="shared" ref="D14:J14" si="0">IFERROR((D10-D13)/$C$4,"-")</f>
        <v>-</v>
      </c>
      <c r="E14" s="1">
        <f t="shared" si="0"/>
        <v>339.93988300000001</v>
      </c>
      <c r="F14" s="1">
        <f t="shared" si="0"/>
        <v>336.70588900000001</v>
      </c>
      <c r="G14" s="1">
        <f t="shared" si="0"/>
        <v>335.79988900000001</v>
      </c>
      <c r="H14" s="1">
        <f t="shared" si="0"/>
        <v>335.79988900000001</v>
      </c>
      <c r="I14" s="1">
        <f t="shared" si="0"/>
        <v>334.33139399999999</v>
      </c>
      <c r="J14" s="1">
        <f t="shared" si="0"/>
        <v>334.33139399999999</v>
      </c>
    </row>
    <row r="15" spans="2:10" x14ac:dyDescent="0.25">
      <c r="B15" s="4" t="s">
        <v>38</v>
      </c>
      <c r="C15" s="1" t="str">
        <f>IFERROR(C8*C14,"-")</f>
        <v>-</v>
      </c>
      <c r="D15" s="1" t="str">
        <f t="shared" ref="D15:J15" si="1">IFERROR(D8*D14,"-")</f>
        <v>-</v>
      </c>
      <c r="E15" s="1">
        <f t="shared" si="1"/>
        <v>11082.0401858</v>
      </c>
      <c r="F15" s="1">
        <f t="shared" si="1"/>
        <v>11784.706115000001</v>
      </c>
      <c r="G15" s="1">
        <f t="shared" si="1"/>
        <v>12626.075826400001</v>
      </c>
      <c r="H15" s="1">
        <f t="shared" si="1"/>
        <v>13146.565654349999</v>
      </c>
      <c r="I15" s="1">
        <f t="shared" si="1"/>
        <v>14075.3516874</v>
      </c>
      <c r="J15" s="1">
        <f t="shared" si="1"/>
        <v>14075.3516874</v>
      </c>
    </row>
    <row r="16" spans="2:10" x14ac:dyDescent="0.25">
      <c r="B16" s="4" t="s">
        <v>39</v>
      </c>
      <c r="C16" s="1">
        <f>IFERROR(C57+C61-C53,"-")</f>
        <v>5535</v>
      </c>
      <c r="D16" s="1">
        <f t="shared" ref="D16:J16" si="2">IFERROR(D57+D61-D53,"-")</f>
        <v>5374</v>
      </c>
      <c r="E16" s="1">
        <f t="shared" si="2"/>
        <v>4976</v>
      </c>
      <c r="F16" s="1">
        <f t="shared" si="2"/>
        <v>4571</v>
      </c>
      <c r="G16" s="1">
        <f t="shared" si="2"/>
        <v>4584</v>
      </c>
      <c r="H16" s="1">
        <f t="shared" si="2"/>
        <v>4075</v>
      </c>
      <c r="I16" s="1" t="str">
        <f t="shared" si="2"/>
        <v>-</v>
      </c>
      <c r="J16" s="1" t="str">
        <f t="shared" si="2"/>
        <v>-</v>
      </c>
    </row>
    <row r="17" spans="1:10" x14ac:dyDescent="0.25">
      <c r="B17" s="4" t="s">
        <v>40</v>
      </c>
      <c r="C17" s="1" t="str">
        <f>IFERROR(C15-C16,"-")</f>
        <v>-</v>
      </c>
      <c r="D17" s="1" t="str">
        <f t="shared" ref="D17:J17" si="3">IFERROR(D15-D16,"-")</f>
        <v>-</v>
      </c>
      <c r="E17" s="1">
        <f t="shared" si="3"/>
        <v>6106.0401858000005</v>
      </c>
      <c r="F17" s="1">
        <f t="shared" si="3"/>
        <v>7213.7061150000009</v>
      </c>
      <c r="G17" s="1">
        <f t="shared" si="3"/>
        <v>8042.0758264000015</v>
      </c>
      <c r="H17" s="1">
        <f t="shared" si="3"/>
        <v>9071.565654349999</v>
      </c>
      <c r="I17" s="1" t="str">
        <f t="shared" si="3"/>
        <v>-</v>
      </c>
      <c r="J17" s="1" t="str">
        <f t="shared" si="3"/>
        <v>-</v>
      </c>
    </row>
    <row r="18" spans="1:10" x14ac:dyDescent="0.25">
      <c r="B18" s="4" t="s">
        <v>41</v>
      </c>
      <c r="C18" s="8"/>
      <c r="D18" s="8"/>
      <c r="E18" s="8"/>
      <c r="F18" s="8">
        <f>IFERROR(F17/SUM(C35:F35),"-")</f>
        <v>2.33302267626132</v>
      </c>
      <c r="G18" s="8">
        <f t="shared" ref="G18:J18" si="4">IFERROR(G17/SUM(D35:G35),"-")</f>
        <v>2.5321397438287159</v>
      </c>
      <c r="H18" s="8">
        <f t="shared" si="4"/>
        <v>2.7640358483698959</v>
      </c>
      <c r="I18" s="8" t="str">
        <f t="shared" si="4"/>
        <v>-</v>
      </c>
      <c r="J18" s="8" t="str">
        <f t="shared" si="4"/>
        <v>-</v>
      </c>
    </row>
    <row r="19" spans="1:10" x14ac:dyDescent="0.25">
      <c r="B19" s="4" t="s">
        <v>42</v>
      </c>
      <c r="C19" s="8" t="str">
        <f>IFERROR(IF(ISNUMBER(F35),C17/SUM(C35:F35),"-"),"-")</f>
        <v>-</v>
      </c>
      <c r="D19" s="8" t="str">
        <f t="shared" ref="D19:J19" si="5">IFERROR(IF(ISNUMBER(G35),D17/SUM(D35:G35),"-"),"-")</f>
        <v>-</v>
      </c>
      <c r="E19" s="8">
        <f t="shared" si="5"/>
        <v>1.8604631888482634</v>
      </c>
      <c r="F19" s="8" t="str">
        <f t="shared" si="5"/>
        <v>-</v>
      </c>
      <c r="G19" s="8" t="str">
        <f t="shared" si="5"/>
        <v>-</v>
      </c>
      <c r="H19" s="8" t="str">
        <f t="shared" si="5"/>
        <v>-</v>
      </c>
      <c r="I19" s="8" t="str">
        <f t="shared" si="5"/>
        <v>-</v>
      </c>
      <c r="J19" s="8" t="str">
        <f t="shared" si="5"/>
        <v>-</v>
      </c>
    </row>
    <row r="20" spans="1:10" x14ac:dyDescent="0.25">
      <c r="B20" s="4" t="s">
        <v>43</v>
      </c>
      <c r="F20" s="8">
        <f t="shared" ref="F20:H20" si="6">IFERROR(IF(ISNUMBER(F43),F15/SUM(C43:F43),"-"),"-")</f>
        <v>10.772126247714809</v>
      </c>
      <c r="G20" s="8">
        <f t="shared" si="6"/>
        <v>10.565753829623432</v>
      </c>
      <c r="H20" s="8">
        <f t="shared" si="6"/>
        <v>10.222834878965784</v>
      </c>
      <c r="I20" s="8" t="str">
        <f>IFERROR(IF(ISNUMBER(I43),I15/SUM(F43:I43),"-"),"-")</f>
        <v>-</v>
      </c>
      <c r="J20" s="8" t="str">
        <f>IFERROR(IF(ISNUMBER(J43),J15/SUM(G43:J43),"-"),"-")</f>
        <v>-</v>
      </c>
    </row>
    <row r="21" spans="1:10" x14ac:dyDescent="0.25">
      <c r="B21" s="4" t="s">
        <v>44</v>
      </c>
      <c r="C21" s="8" t="str">
        <f>IFERROR(IF(ISNUMBER(F43),C15/SUM(C43:F43),"-"),"-")</f>
        <v>-</v>
      </c>
      <c r="D21" s="8" t="str">
        <f t="shared" ref="D21:J21" si="7">IFERROR(IF(ISNUMBER(G43),D15/SUM(D43:G43),"-"),"-")</f>
        <v>-</v>
      </c>
      <c r="E21" s="8">
        <f t="shared" si="7"/>
        <v>8.6174496001555205</v>
      </c>
      <c r="F21" s="8" t="str">
        <f t="shared" si="7"/>
        <v>-</v>
      </c>
      <c r="G21" s="8" t="str">
        <f t="shared" si="7"/>
        <v>-</v>
      </c>
      <c r="H21" s="8" t="str">
        <f t="shared" si="7"/>
        <v>-</v>
      </c>
      <c r="I21" s="8" t="str">
        <f t="shared" si="7"/>
        <v>-</v>
      </c>
      <c r="J21" s="8" t="str">
        <f t="shared" si="7"/>
        <v>-</v>
      </c>
    </row>
    <row r="22" spans="1:10" x14ac:dyDescent="0.25">
      <c r="B22" s="5" t="s">
        <v>45</v>
      </c>
      <c r="C22" s="9"/>
      <c r="D22" s="9"/>
      <c r="E22" s="9"/>
      <c r="F22" s="10">
        <f t="shared" ref="F22:I22" si="8">IFERROR(IF(ISNUMBER(F31),F15/SUM(C31:F31),"-"),"-")</f>
        <v>0.89035253210939869</v>
      </c>
      <c r="G22" s="10">
        <f t="shared" si="8"/>
        <v>0.94833076659155791</v>
      </c>
      <c r="H22" s="10">
        <f t="shared" si="8"/>
        <v>0.9789683263347978</v>
      </c>
      <c r="I22" s="10" t="str">
        <f t="shared" si="8"/>
        <v>-</v>
      </c>
      <c r="J22" s="10" t="str">
        <f>IFERROR(IF(ISNUMBER(J31),J15/SUM(G31:J31),"-"),"-")</f>
        <v>-</v>
      </c>
    </row>
    <row r="23" spans="1:10" x14ac:dyDescent="0.25">
      <c r="B23" s="6"/>
    </row>
    <row r="24" spans="1:10" x14ac:dyDescent="0.25">
      <c r="C24" s="21">
        <v>2014</v>
      </c>
      <c r="D24" s="21">
        <v>2014</v>
      </c>
      <c r="E24" s="21">
        <v>2014</v>
      </c>
      <c r="F24" s="21">
        <v>2014</v>
      </c>
      <c r="G24" s="21">
        <v>2015</v>
      </c>
      <c r="H24" s="21">
        <v>2015</v>
      </c>
      <c r="I24" s="21">
        <v>2015</v>
      </c>
      <c r="J24" s="21">
        <v>2015</v>
      </c>
    </row>
    <row r="25" spans="1:10" ht="18.75" x14ac:dyDescent="0.3">
      <c r="A25" s="14" t="s">
        <v>24</v>
      </c>
      <c r="B25" s="2" t="s">
        <v>25</v>
      </c>
      <c r="C25" s="22" t="s">
        <v>26</v>
      </c>
      <c r="D25" s="22" t="s">
        <v>27</v>
      </c>
      <c r="E25" s="22" t="s">
        <v>28</v>
      </c>
      <c r="F25" s="22" t="s">
        <v>29</v>
      </c>
      <c r="G25" s="22" t="s">
        <v>26</v>
      </c>
      <c r="H25" s="22" t="s">
        <v>27</v>
      </c>
      <c r="I25" s="22" t="s">
        <v>28</v>
      </c>
      <c r="J25" s="22" t="s">
        <v>29</v>
      </c>
    </row>
    <row r="26" spans="1:10" hidden="1" outlineLevel="1" x14ac:dyDescent="0.25">
      <c r="A26" s="13">
        <v>10201</v>
      </c>
      <c r="B26" t="str">
        <f>_xll.KeyName($C$3,$A26)</f>
        <v>Farsímaþjónusta</v>
      </c>
      <c r="C26" s="1">
        <f>IFERROR(_xll.KeyLookup($C$3,C$24,C$25,$A26)/$C$4,"-")</f>
        <v>1125</v>
      </c>
      <c r="D26" s="1">
        <f>IFERROR(_xll.KeyLookup($C$3,D$24,D$25,$A26)/$C$4,"-")</f>
        <v>1232</v>
      </c>
      <c r="E26" s="1">
        <f>IFERROR(_xll.KeyLookup($C$3,E$24,E$25,$A26)/$C$4,"-")</f>
        <v>1328</v>
      </c>
      <c r="F26" s="1">
        <f>IFERROR(_xll.KeyLookup($C$3,F$24,F$25,$A26)/$C$4,"-")</f>
        <v>1184</v>
      </c>
      <c r="G26" s="1">
        <f>IFERROR(_xll.KeyLookup($C$3,G$24,G$25,$A26)/$C$4,"-")</f>
        <v>1120</v>
      </c>
      <c r="H26" s="1">
        <f>IFERROR(_xll.KeyLookup($C$3,H$24,H$25,$A26)/$C$4,"-")</f>
        <v>1225</v>
      </c>
      <c r="I26" s="1" t="str">
        <f>IFERROR(_xll.KeyLookup($C$3,I$24,I$25,$A26)/$C$4,"-")</f>
        <v>-</v>
      </c>
      <c r="J26" s="1" t="str">
        <f>IFERROR(_xll.KeyLookup($C$3,J$24,J$25,$A26)/$C$4,"-")</f>
        <v>-</v>
      </c>
    </row>
    <row r="27" spans="1:10" hidden="1" outlineLevel="1" x14ac:dyDescent="0.25">
      <c r="A27" s="13">
        <v>10202</v>
      </c>
      <c r="B27" t="str">
        <f>_xll.KeyName($C$3,$A27)</f>
        <v>Gagnaafl.þjónusta</v>
      </c>
      <c r="C27" s="1">
        <f>IFERROR(_xll.KeyLookup($C$3,C$24,C$25,$A27)/$C$4,"-")</f>
        <v>719</v>
      </c>
      <c r="D27" s="1">
        <f>IFERROR(_xll.KeyLookup($C$3,D$24,D$25,$A27)/$C$4,"-")</f>
        <v>713</v>
      </c>
      <c r="E27" s="1">
        <f>IFERROR(_xll.KeyLookup($C$3,E$24,E$25,$A27)/$C$4,"-")</f>
        <v>729</v>
      </c>
      <c r="F27" s="1">
        <f>IFERROR(_xll.KeyLookup($C$3,F$24,F$25,$A27)/$C$4,"-")</f>
        <v>731</v>
      </c>
      <c r="G27" s="1">
        <f>IFERROR(_xll.KeyLookup($C$3,G$24,G$25,$A27)/$C$4,"-")</f>
        <v>839</v>
      </c>
      <c r="H27" s="1">
        <f>IFERROR(_xll.KeyLookup($C$3,H$24,H$25,$A27)/$C$4,"-")</f>
        <v>847</v>
      </c>
      <c r="I27" s="1" t="str">
        <f>IFERROR(_xll.KeyLookup($C$3,I$24,I$25,$A27)/$C$4,"-")</f>
        <v>-</v>
      </c>
      <c r="J27" s="1" t="str">
        <f>IFERROR(_xll.KeyLookup($C$3,J$24,J$25,$A27)/$C$4,"-")</f>
        <v>-</v>
      </c>
    </row>
    <row r="28" spans="1:10" hidden="1" outlineLevel="1" x14ac:dyDescent="0.25">
      <c r="A28" s="13">
        <v>10203</v>
      </c>
      <c r="B28" t="str">
        <f>_xll.KeyName($C$3,$A28)</f>
        <v>Fastlínuþjónusta</v>
      </c>
      <c r="C28" s="1">
        <f>IFERROR(_xll.KeyLookup($C$3,C$24,C$25,$A28)/$C$4,"-")</f>
        <v>401</v>
      </c>
      <c r="D28" s="1">
        <f>IFERROR(_xll.KeyLookup($C$3,D$24,D$25,$A28)/$C$4,"-")</f>
        <v>382</v>
      </c>
      <c r="E28" s="1">
        <f>IFERROR(_xll.KeyLookup($C$3,E$24,E$25,$A28)/$C$4,"-")</f>
        <v>390</v>
      </c>
      <c r="F28" s="1">
        <f>IFERROR(_xll.KeyLookup($C$3,F$24,F$25,$A28)/$C$4,"-")</f>
        <v>372</v>
      </c>
      <c r="G28" s="1">
        <f>IFERROR(_xll.KeyLookup($C$3,G$24,G$25,$A28)/$C$4,"-")</f>
        <v>377</v>
      </c>
      <c r="H28" s="1">
        <f>IFERROR(_xll.KeyLookup($C$3,H$24,H$25,$A28)/$C$4,"-")</f>
        <v>356</v>
      </c>
      <c r="I28" s="1" t="str">
        <f>IFERROR(_xll.KeyLookup($C$3,I$24,I$25,$A28)/$C$4,"-")</f>
        <v>-</v>
      </c>
      <c r="J28" s="1" t="str">
        <f>IFERROR(_xll.KeyLookup($C$3,J$24,J$25,$A28)/$C$4,"-")</f>
        <v>-</v>
      </c>
    </row>
    <row r="29" spans="1:10" hidden="1" outlineLevel="1" x14ac:dyDescent="0.25">
      <c r="A29" s="13">
        <v>10204</v>
      </c>
      <c r="B29" t="str">
        <f>_xll.KeyName($C$3,$A29)</f>
        <v>Sjónvarp</v>
      </c>
      <c r="C29" s="1">
        <f>IFERROR(_xll.KeyLookup($C$3,C$24,C$25,$A29)/$C$4,"-")</f>
        <v>413</v>
      </c>
      <c r="D29" s="1">
        <f>IFERROR(_xll.KeyLookup($C$3,D$24,D$25,$A29)/$C$4,"-")</f>
        <v>413</v>
      </c>
      <c r="E29" s="1">
        <f>IFERROR(_xll.KeyLookup($C$3,E$24,E$25,$A29)/$C$4,"-")</f>
        <v>424</v>
      </c>
      <c r="F29" s="1">
        <f>IFERROR(_xll.KeyLookup($C$3,F$24,F$25,$A29)/$C$4,"-")</f>
        <v>440</v>
      </c>
      <c r="G29" s="1">
        <f>IFERROR(_xll.KeyLookup($C$3,G$24,G$25,$A29)/$C$4,"-")</f>
        <v>423</v>
      </c>
      <c r="H29" s="1">
        <f>IFERROR(_xll.KeyLookup($C$3,H$24,H$25,$A29)/$C$4,"-")</f>
        <v>418</v>
      </c>
      <c r="I29" s="1" t="str">
        <f>IFERROR(_xll.KeyLookup($C$3,I$24,I$25,$A29)/$C$4,"-")</f>
        <v>-</v>
      </c>
      <c r="J29" s="1" t="str">
        <f>IFERROR(_xll.KeyLookup($C$3,J$24,J$25,$A29)/$C$4,"-")</f>
        <v>-</v>
      </c>
    </row>
    <row r="30" spans="1:10" hidden="1" outlineLevel="1" x14ac:dyDescent="0.25">
      <c r="A30" s="13">
        <v>10205</v>
      </c>
      <c r="B30" t="str">
        <f>_xll.KeyName($C$3,$A30)</f>
        <v>Önnur þjónusta</v>
      </c>
      <c r="C30" s="1">
        <f>IFERROR(_xll.KeyLookup($C$3,C$24,C$25,$A30)/$C$4,"-")</f>
        <v>515</v>
      </c>
      <c r="D30" s="1">
        <f>IFERROR(_xll.KeyLookup($C$3,D$24,D$25,$A30)/$C$4,"-")</f>
        <v>554</v>
      </c>
      <c r="E30" s="1">
        <f>IFERROR(_xll.KeyLookup($C$3,E$24,E$25,$A30)/$C$4,"-")</f>
        <v>491</v>
      </c>
      <c r="F30" s="1">
        <f>IFERROR(_xll.KeyLookup($C$3,F$24,F$25,$A30)/$C$4,"-")</f>
        <v>680</v>
      </c>
      <c r="G30" s="1">
        <f>IFERROR(_xll.KeyLookup($C$3,G$24,G$25,$A30)/$C$4,"-")</f>
        <v>492</v>
      </c>
      <c r="H30" s="1">
        <f>IFERROR(_xll.KeyLookup($C$3,H$24,H$25,$A30)/$C$4,"-")</f>
        <v>563</v>
      </c>
      <c r="I30" s="1" t="str">
        <f>IFERROR(_xll.KeyLookup($C$3,I$24,I$25,$A30)/$C$4,"-")</f>
        <v>-</v>
      </c>
      <c r="J30" s="1" t="str">
        <f>IFERROR(_xll.KeyLookup($C$3,J$24,J$25,$A30)/$C$4,"-")</f>
        <v>-</v>
      </c>
    </row>
    <row r="31" spans="1:10" collapsed="1" x14ac:dyDescent="0.25">
      <c r="A31" s="16" t="s">
        <v>3</v>
      </c>
      <c r="B31" s="17" t="str">
        <f>_xll.KeyName($C$3,$A31)</f>
        <v>Revenues</v>
      </c>
      <c r="C31" s="18">
        <f>IFERROR(_xll.KeyLookup($C$3,C$24,C$25,$A31)/$C$4,"-")</f>
        <v>3173</v>
      </c>
      <c r="D31" s="18">
        <f>IFERROR(_xll.KeyLookup($C$3,D$24,D$25,$A31)/$C$4,"-")</f>
        <v>3294</v>
      </c>
      <c r="E31" s="18">
        <f>IFERROR(_xll.KeyLookup($C$3,E$24,E$25,$A31)/$C$4,"-")</f>
        <v>3362</v>
      </c>
      <c r="F31" s="18">
        <f>IFERROR(_xll.KeyLookup($C$3,F$24,F$25,$A31)/$C$4,"-")</f>
        <v>3407</v>
      </c>
      <c r="G31" s="18">
        <f>IFERROR(_xll.KeyLookup($C$3,G$24,G$25,$A31)/$C$4,"-")</f>
        <v>3251</v>
      </c>
      <c r="H31" s="18">
        <f>IFERROR(_xll.KeyLookup($C$3,H$24,H$25,$A31)/$C$4,"-")</f>
        <v>3409</v>
      </c>
      <c r="I31" s="18" t="str">
        <f>IFERROR(_xll.KeyLookup($C$3,I$24,I$25,$A31)/$C$4,"-")</f>
        <v>-</v>
      </c>
      <c r="J31" s="18" t="str">
        <f>IFERROR(_xll.KeyLookup($C$3,J$24,J$25,$A31)/$C$4,"-")</f>
        <v>-</v>
      </c>
    </row>
    <row r="32" spans="1:10" x14ac:dyDescent="0.25">
      <c r="A32" s="13">
        <v>115</v>
      </c>
      <c r="B32" t="str">
        <f>_xll.KeyName($C$3,$A32)</f>
        <v>Kostnaðarverð seldra vara og þjónustu</v>
      </c>
      <c r="C32" s="1">
        <f>IFERROR(_xll.KeyLookup($C$3,C$24,C$25,$A32)/$C$4,"-")</f>
        <v>-1471</v>
      </c>
      <c r="D32" s="1">
        <f>IFERROR(_xll.KeyLookup($C$3,D$24,D$25,$A32)/$C$4,"-")</f>
        <v>-1534</v>
      </c>
      <c r="E32" s="1">
        <f>IFERROR(_xll.KeyLookup($C$3,E$24,E$25,$A32)/$C$4,"-")</f>
        <v>-1365</v>
      </c>
      <c r="F32" s="1">
        <f>IFERROR(_xll.KeyLookup($C$3,F$24,F$25,$A32)/$C$4,"-")</f>
        <v>-1657</v>
      </c>
      <c r="G32" s="1">
        <f>IFERROR(_xll.KeyLookup($C$3,G$24,G$25,$A32)/$C$4,"-")</f>
        <v>-1497</v>
      </c>
      <c r="H32" s="1">
        <f>IFERROR(_xll.KeyLookup($C$3,H$24,H$25,$A32)/$C$4,"-")</f>
        <v>-1565</v>
      </c>
      <c r="I32" s="1" t="str">
        <f>IFERROR(_xll.KeyLookup($C$3,I$24,I$25,$A32)/$C$4,"-")</f>
        <v>-</v>
      </c>
      <c r="J32" s="1" t="str">
        <f>IFERROR(_xll.KeyLookup($C$3,J$24,J$25,$A32)/$C$4,"-")</f>
        <v>-</v>
      </c>
    </row>
    <row r="33" spans="1:10" x14ac:dyDescent="0.25">
      <c r="A33" s="16" t="s">
        <v>4</v>
      </c>
      <c r="B33" s="17" t="str">
        <f>_xll.KeyName($C$3,$A33)</f>
        <v>Gross Profit</v>
      </c>
      <c r="C33" s="18">
        <f>IFERROR(_xll.KeyLookup($C$3,C$24,C$25,$A33)/$C$4,"-")</f>
        <v>1702</v>
      </c>
      <c r="D33" s="18">
        <f>IFERROR(_xll.KeyLookup($C$3,D$24,D$25,$A33)/$C$4,"-")</f>
        <v>1760</v>
      </c>
      <c r="E33" s="18">
        <f>IFERROR(_xll.KeyLookup($C$3,E$24,E$25,$A33)/$C$4,"-")</f>
        <v>1997</v>
      </c>
      <c r="F33" s="18">
        <f>IFERROR(_xll.KeyLookup($C$3,F$24,F$25,$A33)/$C$4,"-")</f>
        <v>1750</v>
      </c>
      <c r="G33" s="18">
        <f>IFERROR(_xll.KeyLookup($C$3,G$24,G$25,$A33)/$C$4,"-")</f>
        <v>1754</v>
      </c>
      <c r="H33" s="18">
        <f>IFERROR(_xll.KeyLookup($C$3,H$24,H$25,$A33)/$C$4,"-")</f>
        <v>1844</v>
      </c>
      <c r="I33" s="18" t="str">
        <f>IFERROR(_xll.KeyLookup($C$3,I$24,I$25,$A33)/$C$4,"-")</f>
        <v>-</v>
      </c>
      <c r="J33" s="18" t="str">
        <f>IFERROR(_xll.KeyLookup($C$3,J$24,J$25,$A33)/$C$4,"-")</f>
        <v>-</v>
      </c>
    </row>
    <row r="34" spans="1:10" x14ac:dyDescent="0.25">
      <c r="A34" s="13">
        <v>126</v>
      </c>
      <c r="B34" t="str">
        <f>_xll.KeyName($C$3,$A34)</f>
        <v>Rekstrarkostnaður</v>
      </c>
      <c r="C34" s="1">
        <f>IFERROR(_xll.KeyLookup($C$3,C$24,C$25,$A34)/$C$4,"-")</f>
        <v>-1067</v>
      </c>
      <c r="D34" s="1">
        <f>IFERROR(_xll.KeyLookup($C$3,D$24,D$25,$A34)/$C$4,"-")</f>
        <v>-1089</v>
      </c>
      <c r="E34" s="1">
        <f>IFERROR(_xll.KeyLookup($C$3,E$24,E$25,$A34)/$C$4,"-")</f>
        <v>-974</v>
      </c>
      <c r="F34" s="1">
        <f>IFERROR(_xll.KeyLookup($C$3,F$24,F$25,$A34)/$C$4,"-")</f>
        <v>-987</v>
      </c>
      <c r="G34" s="1">
        <f>IFERROR(_xll.KeyLookup($C$3,G$24,G$25,$A34)/$C$4,"-")</f>
        <v>-1035</v>
      </c>
      <c r="H34" s="1">
        <f>IFERROR(_xll.KeyLookup($C$3,H$24,H$25,$A34)/$C$4,"-")</f>
        <v>-1067</v>
      </c>
      <c r="I34" s="1" t="str">
        <f>IFERROR(_xll.KeyLookup($C$3,I$24,I$25,$A34)/$C$4,"-")</f>
        <v>-</v>
      </c>
      <c r="J34" s="1" t="str">
        <f>IFERROR(_xll.KeyLookup($C$3,J$24,J$25,$A34)/$C$4,"-")</f>
        <v>-</v>
      </c>
    </row>
    <row r="35" spans="1:10" x14ac:dyDescent="0.25">
      <c r="A35" s="16" t="s">
        <v>5</v>
      </c>
      <c r="B35" s="17" t="str">
        <f>_xll.KeyName($C$3,$A35)</f>
        <v>EBITDA</v>
      </c>
      <c r="C35" s="18">
        <f>IFERROR(_xll.KeyLookup($C$3,C$24,C$25,$A35)/$C$4,"-")</f>
        <v>635</v>
      </c>
      <c r="D35" s="18">
        <f>IFERROR(_xll.KeyLookup($C$3,D$24,D$25,$A35)/$C$4,"-")</f>
        <v>671</v>
      </c>
      <c r="E35" s="18">
        <f>IFERROR(_xll.KeyLookup($C$3,E$24,E$25,$A35)/$C$4,"-")</f>
        <v>1023</v>
      </c>
      <c r="F35" s="18">
        <f>IFERROR(_xll.KeyLookup($C$3,F$24,F$25,$A35)/$C$4,"-")</f>
        <v>763</v>
      </c>
      <c r="G35" s="18">
        <f>IFERROR(_xll.KeyLookup($C$3,G$24,G$25,$A35)/$C$4,"-")</f>
        <v>719</v>
      </c>
      <c r="H35" s="18">
        <f>IFERROR(_xll.KeyLookup($C$3,H$24,H$25,$A35)/$C$4,"-")</f>
        <v>777</v>
      </c>
      <c r="I35" s="18" t="str">
        <f>IFERROR(_xll.KeyLookup($C$3,I$24,I$25,$A35)/$C$4,"-")</f>
        <v>-</v>
      </c>
      <c r="J35" s="18" t="str">
        <f>IFERROR(_xll.KeyLookup($C$3,J$24,J$25,$A35)/$C$4,"-")</f>
        <v>-</v>
      </c>
    </row>
    <row r="36" spans="1:10" x14ac:dyDescent="0.25">
      <c r="A36" s="13">
        <v>131</v>
      </c>
      <c r="B36" t="str">
        <f>_xll.KeyName($C$3,$A36)</f>
        <v>Afskriftir fastafjármuna</v>
      </c>
      <c r="C36" s="1">
        <f>IFERROR(_xll.KeyLookup($C$3,C$24,C$25,$A36)/$C$4,"-")</f>
        <v>-347</v>
      </c>
      <c r="D36" s="1">
        <f>IFERROR(_xll.KeyLookup($C$3,D$24,D$25,$A36)/$C$4,"-")</f>
        <v>-306</v>
      </c>
      <c r="E36" s="1">
        <f>IFERROR(_xll.KeyLookup($C$3,E$24,E$25,$A36)/$C$4,"-")</f>
        <v>-328</v>
      </c>
      <c r="F36" s="1">
        <f>IFERROR(_xll.KeyLookup($C$3,F$24,F$25,$A36)/$C$4,"-")</f>
        <v>-326</v>
      </c>
      <c r="G36" s="1">
        <f>IFERROR(_xll.KeyLookup($C$3,G$24,G$25,$A36)/$C$4,"-")</f>
        <v>-324</v>
      </c>
      <c r="H36" s="1">
        <f>IFERROR(_xll.KeyLookup($C$3,H$24,H$25,$A36)/$C$4,"-")</f>
        <v>-323</v>
      </c>
      <c r="I36" s="1" t="str">
        <f>IFERROR(_xll.KeyLookup($C$3,I$24,I$25,$A36)/$C$4,"-")</f>
        <v>-</v>
      </c>
      <c r="J36" s="1" t="str">
        <f>IFERROR(_xll.KeyLookup($C$3,J$24,J$25,$A36)/$C$4,"-")</f>
        <v>-</v>
      </c>
    </row>
    <row r="37" spans="1:10" x14ac:dyDescent="0.25">
      <c r="A37" s="16" t="s">
        <v>6</v>
      </c>
      <c r="B37" s="17" t="str">
        <f>_xll.KeyName($C$3,$A37)</f>
        <v>EBIT</v>
      </c>
      <c r="C37" s="18">
        <f>IFERROR(_xll.KeyLookup($C$3,C$24,C$25,$A37)/$C$4,"-")</f>
        <v>288</v>
      </c>
      <c r="D37" s="18">
        <f>IFERROR(_xll.KeyLookup($C$3,D$24,D$25,$A37)/$C$4,"-")</f>
        <v>365</v>
      </c>
      <c r="E37" s="18">
        <f>IFERROR(_xll.KeyLookup($C$3,E$24,E$25,$A37)/$C$4,"-")</f>
        <v>695</v>
      </c>
      <c r="F37" s="18">
        <f>IFERROR(_xll.KeyLookup($C$3,F$24,F$25,$A37)/$C$4,"-")</f>
        <v>437</v>
      </c>
      <c r="G37" s="18">
        <f>IFERROR(_xll.KeyLookup($C$3,G$24,G$25,$A37)/$C$4,"-")</f>
        <v>395</v>
      </c>
      <c r="H37" s="18">
        <f>IFERROR(_xll.KeyLookup($C$3,H$24,H$25,$A37)/$C$4,"-")</f>
        <v>454</v>
      </c>
      <c r="I37" s="18" t="str">
        <f>IFERROR(_xll.KeyLookup($C$3,I$24,I$25,$A37)/$C$4,"-")</f>
        <v>-</v>
      </c>
      <c r="J37" s="18" t="str">
        <f>IFERROR(_xll.KeyLookup($C$3,J$24,J$25,$A37)/$C$4,"-")</f>
        <v>-</v>
      </c>
    </row>
    <row r="38" spans="1:10" x14ac:dyDescent="0.25">
      <c r="A38" s="13">
        <v>141</v>
      </c>
      <c r="B38" t="str">
        <f>_xll.KeyName($C$3,$A38)</f>
        <v>Fjármunatekjur</v>
      </c>
      <c r="C38" s="1">
        <f>IFERROR(_xll.KeyLookup($C$3,C$24,C$25,$A38)/$C$4,"-")</f>
        <v>13</v>
      </c>
      <c r="D38" s="1">
        <f>IFERROR(_xll.KeyLookup($C$3,D$24,D$25,$A38)/$C$4,"-")</f>
        <v>9</v>
      </c>
      <c r="E38" s="1">
        <f>IFERROR(_xll.KeyLookup($C$3,E$24,E$25,$A38)/$C$4,"-")</f>
        <v>11</v>
      </c>
      <c r="F38" s="1">
        <f>IFERROR(_xll.KeyLookup($C$3,F$24,F$25,$A38)/$C$4,"-")</f>
        <v>12</v>
      </c>
      <c r="G38" s="1">
        <f>IFERROR(_xll.KeyLookup($C$3,G$24,G$25,$A38)/$C$4,"-")</f>
        <v>8</v>
      </c>
      <c r="H38" s="1">
        <f>IFERROR(_xll.KeyLookup($C$3,H$24,H$25,$A38)/$C$4,"-")</f>
        <v>7</v>
      </c>
      <c r="I38" s="1" t="str">
        <f>IFERROR(_xll.KeyLookup($C$3,I$24,I$25,$A38)/$C$4,"-")</f>
        <v>-</v>
      </c>
      <c r="J38" s="1" t="str">
        <f>IFERROR(_xll.KeyLookup($C$3,J$24,J$25,$A38)/$C$4,"-")</f>
        <v>-</v>
      </c>
    </row>
    <row r="39" spans="1:10" x14ac:dyDescent="0.25">
      <c r="A39" s="13">
        <v>142</v>
      </c>
      <c r="B39" t="str">
        <f>_xll.KeyName($C$3,$A39)</f>
        <v>Fjármagnsgjöld</v>
      </c>
      <c r="C39" s="1">
        <f>IFERROR(_xll.KeyLookup($C$3,C$24,C$25,$A39)/$C$4,"-")</f>
        <v>-134</v>
      </c>
      <c r="D39" s="1">
        <f>IFERROR(_xll.KeyLookup($C$3,D$24,D$25,$A39)/$C$4,"-")</f>
        <v>-113</v>
      </c>
      <c r="E39" s="1">
        <f>IFERROR(_xll.KeyLookup($C$3,E$24,E$25,$A39)/$C$4,"-")</f>
        <v>-113</v>
      </c>
      <c r="F39" s="1">
        <f>IFERROR(_xll.KeyLookup($C$3,F$24,F$25,$A39)/$C$4,"-")</f>
        <v>-107</v>
      </c>
      <c r="G39" s="1">
        <f>IFERROR(_xll.KeyLookup($C$3,G$24,G$25,$A39)/$C$4,"-")</f>
        <v>-105</v>
      </c>
      <c r="H39" s="1">
        <f>IFERROR(_xll.KeyLookup($C$3,H$24,H$25,$A39)/$C$4,"-")</f>
        <v>-91</v>
      </c>
      <c r="I39" s="1" t="str">
        <f>IFERROR(_xll.KeyLookup($C$3,I$24,I$25,$A39)/$C$4,"-")</f>
        <v>-</v>
      </c>
      <c r="J39" s="1" t="str">
        <f>IFERROR(_xll.KeyLookup($C$3,J$24,J$25,$A39)/$C$4,"-")</f>
        <v>-</v>
      </c>
    </row>
    <row r="40" spans="1:10" x14ac:dyDescent="0.25">
      <c r="A40" s="16" t="s">
        <v>30</v>
      </c>
      <c r="B40" s="17" t="str">
        <f>_xll.KeyName($C$3,$A40)</f>
        <v>Net Financing Cost</v>
      </c>
      <c r="C40" s="18">
        <f>IFERROR(_xll.KeyLookup($C$3,C$24,C$25,$A40)/$C$4,"-")</f>
        <v>-121</v>
      </c>
      <c r="D40" s="18">
        <f>IFERROR(_xll.KeyLookup($C$3,D$24,D$25,$A40)/$C$4,"-")</f>
        <v>-104</v>
      </c>
      <c r="E40" s="18">
        <f>IFERROR(_xll.KeyLookup($C$3,E$24,E$25,$A40)/$C$4,"-")</f>
        <v>-102</v>
      </c>
      <c r="F40" s="18">
        <f>IFERROR(_xll.KeyLookup($C$3,F$24,F$25,$A40)/$C$4,"-")</f>
        <v>-95</v>
      </c>
      <c r="G40" s="18">
        <f>IFERROR(_xll.KeyLookup($C$3,G$24,G$25,$A40)/$C$4,"-")</f>
        <v>-97</v>
      </c>
      <c r="H40" s="18">
        <f>IFERROR(_xll.KeyLookup($C$3,H$24,H$25,$A40)/$C$4,"-")</f>
        <v>-84</v>
      </c>
      <c r="I40" s="18" t="str">
        <f>IFERROR(_xll.KeyLookup($C$3,I$24,I$25,$A40)/$C$4,"-")</f>
        <v>-</v>
      </c>
      <c r="J40" s="18" t="str">
        <f>IFERROR(_xll.KeyLookup($C$3,J$24,J$25,$A40)/$C$4,"-")</f>
        <v>-</v>
      </c>
    </row>
    <row r="41" spans="1:10" x14ac:dyDescent="0.25">
      <c r="A41" s="16" t="s">
        <v>7</v>
      </c>
      <c r="B41" s="17" t="str">
        <f>_xll.KeyName($C$3,$A41)</f>
        <v>EBT</v>
      </c>
      <c r="C41" s="18">
        <f>IFERROR(_xll.KeyLookup($C$3,C$24,C$25,$A41)/$C$4,"-")</f>
        <v>167</v>
      </c>
      <c r="D41" s="18">
        <f>IFERROR(_xll.KeyLookup($C$3,D$24,D$25,$A41)/$C$4,"-")</f>
        <v>261</v>
      </c>
      <c r="E41" s="18">
        <f>IFERROR(_xll.KeyLookup($C$3,E$24,E$25,$A41)/$C$4,"-")</f>
        <v>593</v>
      </c>
      <c r="F41" s="18">
        <f>IFERROR(_xll.KeyLookup($C$3,F$24,F$25,$A41)/$C$4,"-")</f>
        <v>342</v>
      </c>
      <c r="G41" s="18">
        <f>IFERROR(_xll.KeyLookup($C$3,G$24,G$25,$A41)/$C$4,"-")</f>
        <v>298</v>
      </c>
      <c r="H41" s="18">
        <f>IFERROR(_xll.KeyLookup($C$3,H$24,H$25,$A41)/$C$4,"-")</f>
        <v>370</v>
      </c>
      <c r="I41" s="18" t="str">
        <f>IFERROR(_xll.KeyLookup($C$3,I$24,I$25,$A41)/$C$4,"-")</f>
        <v>-</v>
      </c>
      <c r="J41" s="18" t="str">
        <f>IFERROR(_xll.KeyLookup($C$3,J$24,J$25,$A41)/$C$4,"-")</f>
        <v>-</v>
      </c>
    </row>
    <row r="42" spans="1:10" x14ac:dyDescent="0.25">
      <c r="A42" s="13">
        <v>15</v>
      </c>
      <c r="B42" t="str">
        <f>_xll.KeyName($C$3,$A42)</f>
        <v>Tekjuskattur</v>
      </c>
      <c r="C42" s="1">
        <f>IFERROR(_xll.KeyLookup($C$3,C$24,C$25,$A42)/$C$4,"-")</f>
        <v>-32</v>
      </c>
      <c r="D42" s="1">
        <f>IFERROR(_xll.KeyLookup($C$3,D$24,D$25,$A42)/$C$4,"-")</f>
        <v>-51</v>
      </c>
      <c r="E42" s="1">
        <f>IFERROR(_xll.KeyLookup($C$3,E$24,E$25,$A42)/$C$4,"-")</f>
        <v>-117</v>
      </c>
      <c r="F42" s="1">
        <f>IFERROR(_xll.KeyLookup($C$3,F$24,F$25,$A42)/$C$4,"-")</f>
        <v>-69</v>
      </c>
      <c r="G42" s="1">
        <f>IFERROR(_xll.KeyLookup($C$3,G$24,G$25,$A42)/$C$4,"-")</f>
        <v>-62</v>
      </c>
      <c r="H42" s="1">
        <f>IFERROR(_xll.KeyLookup($C$3,H$24,H$25,$A42)/$C$4,"-")</f>
        <v>-69</v>
      </c>
      <c r="I42" s="1" t="str">
        <f>IFERROR(_xll.KeyLookup($C$3,I$24,I$25,$A42)/$C$4,"-")</f>
        <v>-</v>
      </c>
      <c r="J42" s="1" t="str">
        <f>IFERROR(_xll.KeyLookup($C$3,J$24,J$25,$A42)/$C$4,"-")</f>
        <v>-</v>
      </c>
    </row>
    <row r="43" spans="1:10" x14ac:dyDescent="0.25">
      <c r="A43" s="16" t="s">
        <v>8</v>
      </c>
      <c r="B43" s="17" t="str">
        <f>_xll.KeyName($C$3,$A43)</f>
        <v>Earnings</v>
      </c>
      <c r="C43" s="18">
        <f>IFERROR(_xll.KeyLookup($C$3,C$24,C$25,$A43)/$C$4,"-")</f>
        <v>135</v>
      </c>
      <c r="D43" s="18">
        <f>IFERROR(_xll.KeyLookup($C$3,D$24,D$25,$A43)/$C$4,"-")</f>
        <v>210</v>
      </c>
      <c r="E43" s="18">
        <f>IFERROR(_xll.KeyLookup($C$3,E$24,E$25,$A43)/$C$4,"-")</f>
        <v>476</v>
      </c>
      <c r="F43" s="18">
        <f>IFERROR(_xll.KeyLookup($C$3,F$24,F$25,$A43)/$C$4,"-")</f>
        <v>273</v>
      </c>
      <c r="G43" s="18">
        <f>IFERROR(_xll.KeyLookup($C$3,G$24,G$25,$A43)/$C$4,"-")</f>
        <v>236</v>
      </c>
      <c r="H43" s="18">
        <f>IFERROR(_xll.KeyLookup($C$3,H$24,H$25,$A43)/$C$4,"-")</f>
        <v>301</v>
      </c>
      <c r="I43" s="18" t="str">
        <f>IFERROR(_xll.KeyLookup($C$3,I$24,I$25,$A43)/$C$4,"-")</f>
        <v>-</v>
      </c>
      <c r="J43" s="18" t="str">
        <f>IFERROR(_xll.KeyLookup($C$3,J$24,J$25,$A43)/$C$4,"-")</f>
        <v>-</v>
      </c>
    </row>
    <row r="45" spans="1:10" ht="18.75" x14ac:dyDescent="0.3">
      <c r="A45" s="14"/>
      <c r="B45" s="2" t="s">
        <v>31</v>
      </c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13">
        <v>211</v>
      </c>
      <c r="B46" t="str">
        <f>_xll.KeyName($C$3,$A46)</f>
        <v>Rekstrarfjármunir</v>
      </c>
      <c r="C46" s="1">
        <f>IFERROR(_xll.KeyLookup($C$3,C$24,C$25,$A46)/$C$4,"-")</f>
        <v>4197</v>
      </c>
      <c r="D46" s="1">
        <f>IFERROR(_xll.KeyLookup($C$3,D$24,D$25,$A46)/$C$4,"-")</f>
        <v>4283</v>
      </c>
      <c r="E46" s="1">
        <f>IFERROR(_xll.KeyLookup($C$3,E$24,E$25,$A46)/$C$4,"-")</f>
        <v>4376</v>
      </c>
      <c r="F46" s="1">
        <f>IFERROR(_xll.KeyLookup($C$3,F$24,F$25,$A46)/$C$4,"-")</f>
        <v>4332</v>
      </c>
      <c r="G46" s="1">
        <f>IFERROR(_xll.KeyLookup($C$3,G$24,G$25,$A46)/$C$4,"-")</f>
        <v>4263</v>
      </c>
      <c r="H46" s="1">
        <f>IFERROR(_xll.KeyLookup($C$3,H$24,H$25,$A46)/$C$4,"-")</f>
        <v>4278</v>
      </c>
      <c r="I46" s="1" t="str">
        <f>IFERROR(_xll.KeyLookup($C$3,I$24,I$25,$A46)/$C$4,"-")</f>
        <v>-</v>
      </c>
      <c r="J46" s="1" t="str">
        <f>IFERROR(_xll.KeyLookup($C$3,J$24,J$25,$A46)/$C$4,"-")</f>
        <v>-</v>
      </c>
    </row>
    <row r="47" spans="1:10" x14ac:dyDescent="0.25">
      <c r="A47" s="13">
        <v>212</v>
      </c>
      <c r="B47" t="str">
        <f>_xll.KeyName($C$3,$A47)</f>
        <v>Óefnislegar eignir</v>
      </c>
      <c r="C47" s="1">
        <f>IFERROR(_xll.KeyLookup($C$3,C$24,C$25,$A47)/$C$4,"-")</f>
        <v>7087</v>
      </c>
      <c r="D47" s="1">
        <f>IFERROR(_xll.KeyLookup($C$3,D$24,D$25,$A47)/$C$4,"-")</f>
        <v>7136</v>
      </c>
      <c r="E47" s="1">
        <f>IFERROR(_xll.KeyLookup($C$3,E$24,E$25,$A47)/$C$4,"-")</f>
        <v>7123</v>
      </c>
      <c r="F47" s="1">
        <f>IFERROR(_xll.KeyLookup($C$3,F$24,F$25,$A47)/$C$4,"-")</f>
        <v>7150</v>
      </c>
      <c r="G47" s="1">
        <f>IFERROR(_xll.KeyLookup($C$3,G$24,G$25,$A47)/$C$4,"-")</f>
        <v>7169</v>
      </c>
      <c r="H47" s="1">
        <f>IFERROR(_xll.KeyLookup($C$3,H$24,H$25,$A47)/$C$4,"-")</f>
        <v>7185</v>
      </c>
      <c r="I47" s="1" t="str">
        <f>IFERROR(_xll.KeyLookup($C$3,I$24,I$25,$A47)/$C$4,"-")</f>
        <v>-</v>
      </c>
      <c r="J47" s="1" t="str">
        <f>IFERROR(_xll.KeyLookup($C$3,J$24,J$25,$A47)/$C$4,"-")</f>
        <v>-</v>
      </c>
    </row>
    <row r="48" spans="1:10" x14ac:dyDescent="0.25">
      <c r="A48" s="13">
        <v>215</v>
      </c>
      <c r="B48" t="str">
        <f>_xll.KeyName($C$3,$A48)</f>
        <v>Eignarhlutir í félögum</v>
      </c>
      <c r="C48" s="1">
        <f>IFERROR(_xll.KeyLookup($C$3,C$24,C$25,$A48)/$C$4,"-")</f>
        <v>0</v>
      </c>
      <c r="D48" s="1">
        <f>IFERROR(_xll.KeyLookup($C$3,D$24,D$25,$A48)/$C$4,"-")</f>
        <v>0</v>
      </c>
      <c r="E48" s="1">
        <f>IFERROR(_xll.KeyLookup($C$3,E$24,E$25,$A48)/$C$4,"-")</f>
        <v>0</v>
      </c>
      <c r="F48" s="1">
        <f>IFERROR(_xll.KeyLookup($C$3,F$24,F$25,$A48)/$C$4,"-")</f>
        <v>0</v>
      </c>
      <c r="G48" s="1">
        <f>IFERROR(_xll.KeyLookup($C$3,G$24,G$25,$A48)/$C$4,"-")</f>
        <v>0</v>
      </c>
      <c r="H48" s="1">
        <f>IFERROR(_xll.KeyLookup($C$3,H$24,H$25,$A48)/$C$4,"-")</f>
        <v>0</v>
      </c>
      <c r="I48" s="1" t="str">
        <f>IFERROR(_xll.KeyLookup($C$3,I$24,I$25,$A48)/$C$4,"-")</f>
        <v>-</v>
      </c>
      <c r="J48" s="1" t="str">
        <f>IFERROR(_xll.KeyLookup($C$3,J$24,J$25,$A48)/$C$4,"-")</f>
        <v>-</v>
      </c>
    </row>
    <row r="49" spans="1:10" x14ac:dyDescent="0.25">
      <c r="A49" s="13">
        <v>217</v>
      </c>
      <c r="B49" t="str">
        <f>_xll.KeyName($C$3,$A49)</f>
        <v>Skatteign</v>
      </c>
      <c r="C49" s="1">
        <f>IFERROR(_xll.KeyLookup($C$3,C$24,C$25,$A49)/$C$4,"-")</f>
        <v>677</v>
      </c>
      <c r="D49" s="1">
        <f>IFERROR(_xll.KeyLookup($C$3,D$24,D$25,$A49)/$C$4,"-")</f>
        <v>637</v>
      </c>
      <c r="E49" s="1">
        <f>IFERROR(_xll.KeyLookup($C$3,E$24,E$25,$A49)/$C$4,"-")</f>
        <v>539</v>
      </c>
      <c r="F49" s="1">
        <f>IFERROR(_xll.KeyLookup($C$3,F$24,F$25,$A49)/$C$4,"-")</f>
        <v>479</v>
      </c>
      <c r="G49" s="1">
        <f>IFERROR(_xll.KeyLookup($C$3,G$24,G$25,$A49)/$C$4,"-")</f>
        <v>428</v>
      </c>
      <c r="H49" s="1">
        <f>IFERROR(_xll.KeyLookup($C$3,H$24,H$25,$A49)/$C$4,"-")</f>
        <v>368</v>
      </c>
      <c r="I49" s="1" t="str">
        <f>IFERROR(_xll.KeyLookup($C$3,I$24,I$25,$A49)/$C$4,"-")</f>
        <v>-</v>
      </c>
      <c r="J49" s="1" t="str">
        <f>IFERROR(_xll.KeyLookup($C$3,J$24,J$25,$A49)/$C$4,"-")</f>
        <v>-</v>
      </c>
    </row>
    <row r="50" spans="1:10" x14ac:dyDescent="0.25">
      <c r="A50" s="16" t="s">
        <v>9</v>
      </c>
      <c r="B50" s="17" t="str">
        <f>_xll.KeyName($C$3,$A50)</f>
        <v>Non Current Assets</v>
      </c>
      <c r="C50" s="18">
        <f>IFERROR(_xll.KeyLookup($C$3,C$24,C$25,$A50)/$C$4,"-")</f>
        <v>11961</v>
      </c>
      <c r="D50" s="18">
        <f>IFERROR(_xll.KeyLookup($C$3,D$24,D$25,$A50)/$C$4,"-")</f>
        <v>12056</v>
      </c>
      <c r="E50" s="18">
        <f>IFERROR(_xll.KeyLookup($C$3,E$24,E$25,$A50)/$C$4,"-")</f>
        <v>12038</v>
      </c>
      <c r="F50" s="18">
        <f>IFERROR(_xll.KeyLookup($C$3,F$24,F$25,$A50)/$C$4,"-")</f>
        <v>11961</v>
      </c>
      <c r="G50" s="18">
        <f>IFERROR(_xll.KeyLookup($C$3,G$24,G$25,$A50)/$C$4,"-")</f>
        <v>11860</v>
      </c>
      <c r="H50" s="18">
        <f>IFERROR(_xll.KeyLookup($C$3,H$24,H$25,$A50)/$C$4,"-")</f>
        <v>11831</v>
      </c>
      <c r="I50" s="18" t="str">
        <f>IFERROR(_xll.KeyLookup($C$3,I$24,I$25,$A50)/$C$4,"-")</f>
        <v>-</v>
      </c>
      <c r="J50" s="18" t="str">
        <f>IFERROR(_xll.KeyLookup($C$3,J$24,J$25,$A50)/$C$4,"-")</f>
        <v>-</v>
      </c>
    </row>
    <row r="51" spans="1:10" x14ac:dyDescent="0.25">
      <c r="A51" s="13">
        <v>221</v>
      </c>
      <c r="B51" t="str">
        <f>_xll.KeyName($C$3,$A51)</f>
        <v>Birgðir</v>
      </c>
      <c r="C51" s="1">
        <f>IFERROR(_xll.KeyLookup($C$3,C$24,C$25,$A51)/$C$4,"-")</f>
        <v>317</v>
      </c>
      <c r="D51" s="1">
        <f>IFERROR(_xll.KeyLookup($C$3,D$24,D$25,$A51)/$C$4,"-")</f>
        <v>278</v>
      </c>
      <c r="E51" s="1">
        <f>IFERROR(_xll.KeyLookup($C$3,E$24,E$25,$A51)/$C$4,"-")</f>
        <v>305</v>
      </c>
      <c r="F51" s="1">
        <f>IFERROR(_xll.KeyLookup($C$3,F$24,F$25,$A51)/$C$4,"-")</f>
        <v>329</v>
      </c>
      <c r="G51" s="1">
        <f>IFERROR(_xll.KeyLookup($C$3,G$24,G$25,$A51)/$C$4,"-")</f>
        <v>390</v>
      </c>
      <c r="H51" s="1">
        <f>IFERROR(_xll.KeyLookup($C$3,H$24,H$25,$A51)/$C$4,"-")</f>
        <v>312</v>
      </c>
      <c r="I51" s="1" t="str">
        <f>IFERROR(_xll.KeyLookup($C$3,I$24,I$25,$A51)/$C$4,"-")</f>
        <v>-</v>
      </c>
      <c r="J51" s="1" t="str">
        <f>IFERROR(_xll.KeyLookup($C$3,J$24,J$25,$A51)/$C$4,"-")</f>
        <v>-</v>
      </c>
    </row>
    <row r="52" spans="1:10" x14ac:dyDescent="0.25">
      <c r="A52" s="13">
        <v>222</v>
      </c>
      <c r="B52" t="str">
        <f>_xll.KeyName($C$3,$A52)</f>
        <v>Viðskiptakröfur og aðrar skammtímakröfur</v>
      </c>
      <c r="C52" s="1">
        <f>IFERROR(_xll.KeyLookup($C$3,C$24,C$25,$A52)/$C$4,"-")</f>
        <v>2875</v>
      </c>
      <c r="D52" s="1">
        <f>IFERROR(_xll.KeyLookup($C$3,D$24,D$25,$A52)/$C$4,"-")</f>
        <v>2988</v>
      </c>
      <c r="E52" s="1">
        <f>IFERROR(_xll.KeyLookup($C$3,E$24,E$25,$A52)/$C$4,"-")</f>
        <v>2935</v>
      </c>
      <c r="F52" s="1">
        <f>IFERROR(_xll.KeyLookup($C$3,F$24,F$25,$A52)/$C$4,"-")</f>
        <v>2718</v>
      </c>
      <c r="G52" s="1">
        <f>IFERROR(_xll.KeyLookup($C$3,G$24,G$25,$A52)/$C$4,"-")</f>
        <v>2798</v>
      </c>
      <c r="H52" s="1">
        <f>IFERROR(_xll.KeyLookup($C$3,H$24,H$25,$A52)/$C$4,"-")</f>
        <v>2650</v>
      </c>
      <c r="I52" s="1" t="str">
        <f>IFERROR(_xll.KeyLookup($C$3,I$24,I$25,$A52)/$C$4,"-")</f>
        <v>-</v>
      </c>
      <c r="J52" s="1" t="str">
        <f>IFERROR(_xll.KeyLookup($C$3,J$24,J$25,$A52)/$C$4,"-")</f>
        <v>-</v>
      </c>
    </row>
    <row r="53" spans="1:10" x14ac:dyDescent="0.25">
      <c r="A53" s="13">
        <v>226</v>
      </c>
      <c r="B53" t="str">
        <f>_xll.KeyName($C$3,$A53)</f>
        <v>Handbært fé</v>
      </c>
      <c r="C53" s="1">
        <f>IFERROR(_xll.KeyLookup($C$3,C$24,C$25,$A53)/$C$4,"-")</f>
        <v>240</v>
      </c>
      <c r="D53" s="1">
        <f>IFERROR(_xll.KeyLookup($C$3,D$24,D$25,$A53)/$C$4,"-")</f>
        <v>277</v>
      </c>
      <c r="E53" s="1">
        <f>IFERROR(_xll.KeyLookup($C$3,E$24,E$25,$A53)/$C$4,"-")</f>
        <v>470</v>
      </c>
      <c r="F53" s="1">
        <f>IFERROR(_xll.KeyLookup($C$3,F$24,F$25,$A53)/$C$4,"-")</f>
        <v>528</v>
      </c>
      <c r="G53" s="1">
        <f>IFERROR(_xll.KeyLookup($C$3,G$24,G$25,$A53)/$C$4,"-")</f>
        <v>600</v>
      </c>
      <c r="H53" s="1">
        <f>IFERROR(_xll.KeyLookup($C$3,H$24,H$25,$A53)/$C$4,"-")</f>
        <v>517</v>
      </c>
      <c r="I53" s="1" t="str">
        <f>IFERROR(_xll.KeyLookup($C$3,I$24,I$25,$A53)/$C$4,"-")</f>
        <v>-</v>
      </c>
      <c r="J53" s="1" t="str">
        <f>IFERROR(_xll.KeyLookup($C$3,J$24,J$25,$A53)/$C$4,"-")</f>
        <v>-</v>
      </c>
    </row>
    <row r="54" spans="1:10" x14ac:dyDescent="0.25">
      <c r="A54" s="16" t="s">
        <v>10</v>
      </c>
      <c r="B54" s="17" t="str">
        <f>_xll.KeyName($C$3,$A54)</f>
        <v>Current Assets</v>
      </c>
      <c r="C54" s="18">
        <f>IFERROR(_xll.KeyLookup($C$3,C$24,C$25,$A54)/$C$4,"-")</f>
        <v>3432</v>
      </c>
      <c r="D54" s="18">
        <f>IFERROR(_xll.KeyLookup($C$3,D$24,D$25,$A54)/$C$4,"-")</f>
        <v>3543</v>
      </c>
      <c r="E54" s="18">
        <f>IFERROR(_xll.KeyLookup($C$3,E$24,E$25,$A54)/$C$4,"-")</f>
        <v>3710</v>
      </c>
      <c r="F54" s="18">
        <f>IFERROR(_xll.KeyLookup($C$3,F$24,F$25,$A54)/$C$4,"-")</f>
        <v>3575</v>
      </c>
      <c r="G54" s="18">
        <f>IFERROR(_xll.KeyLookup($C$3,G$24,G$25,$A54)/$C$4,"-")</f>
        <v>3788</v>
      </c>
      <c r="H54" s="18">
        <f>IFERROR(_xll.KeyLookup($C$3,H$24,H$25,$A54)/$C$4,"-")</f>
        <v>3479</v>
      </c>
      <c r="I54" s="18" t="str">
        <f>IFERROR(_xll.KeyLookup($C$3,I$24,I$25,$A54)/$C$4,"-")</f>
        <v>-</v>
      </c>
      <c r="J54" s="18" t="str">
        <f>IFERROR(_xll.KeyLookup($C$3,J$24,J$25,$A54)/$C$4,"-")</f>
        <v>-</v>
      </c>
    </row>
    <row r="55" spans="1:10" x14ac:dyDescent="0.25">
      <c r="A55" s="16" t="s">
        <v>11</v>
      </c>
      <c r="B55" s="17" t="str">
        <f>_xll.KeyName($C$3,$A55)</f>
        <v>Total Assets</v>
      </c>
      <c r="C55" s="18">
        <f>IFERROR(_xll.KeyLookup($C$3,C$24,C$25,$A55)/$C$4,"-")</f>
        <v>15393</v>
      </c>
      <c r="D55" s="18">
        <f>IFERROR(_xll.KeyLookup($C$3,D$24,D$25,$A55)/$C$4,"-")</f>
        <v>15599</v>
      </c>
      <c r="E55" s="18">
        <f>IFERROR(_xll.KeyLookup($C$3,E$24,E$25,$A55)/$C$4,"-")</f>
        <v>15748</v>
      </c>
      <c r="F55" s="18">
        <f>IFERROR(_xll.KeyLookup($C$3,F$24,F$25,$A55)/$C$4,"-")</f>
        <v>15536</v>
      </c>
      <c r="G55" s="18">
        <f>IFERROR(_xll.KeyLookup($C$3,G$24,G$25,$A55)/$C$4,"-")</f>
        <v>15648</v>
      </c>
      <c r="H55" s="18">
        <f>IFERROR(_xll.KeyLookup($C$3,H$24,H$25,$A55)/$C$4,"-")</f>
        <v>15310</v>
      </c>
      <c r="I55" s="18" t="str">
        <f>IFERROR(_xll.KeyLookup($C$3,I$24,I$25,$A55)/$C$4,"-")</f>
        <v>-</v>
      </c>
      <c r="J55" s="18" t="str">
        <f>IFERROR(_xll.KeyLookup($C$3,J$24,J$25,$A55)/$C$4,"-")</f>
        <v>-</v>
      </c>
    </row>
    <row r="56" spans="1:10" x14ac:dyDescent="0.25">
      <c r="A56" s="16" t="s">
        <v>12</v>
      </c>
      <c r="B56" s="17" t="str">
        <f>_xll.KeyName($C$3,$A56)</f>
        <v>Equity</v>
      </c>
      <c r="C56" s="18">
        <f>IFERROR(_xll.KeyLookup($C$3,C$24,C$25,$A56)/$C$4,"-")</f>
        <v>7703</v>
      </c>
      <c r="D56" s="18">
        <f>IFERROR(_xll.KeyLookup($C$3,D$24,D$25,$A56)/$C$4,"-")</f>
        <v>7907</v>
      </c>
      <c r="E56" s="18">
        <f>IFERROR(_xll.KeyLookup($C$3,E$24,E$25,$A56)/$C$4,"-")</f>
        <v>8344</v>
      </c>
      <c r="F56" s="18">
        <f>IFERROR(_xll.KeyLookup($C$3,F$24,F$25,$A56)/$C$4,"-")</f>
        <v>8503</v>
      </c>
      <c r="G56" s="18">
        <f>IFERROR(_xll.KeyLookup($C$3,G$24,G$25,$A56)/$C$4,"-")</f>
        <v>8462</v>
      </c>
      <c r="H56" s="18">
        <f>IFERROR(_xll.KeyLookup($C$3,H$24,H$25,$A56)/$C$4,"-")</f>
        <v>8764</v>
      </c>
      <c r="I56" s="18" t="str">
        <f>IFERROR(_xll.KeyLookup($C$3,I$24,I$25,$A56)/$C$4,"-")</f>
        <v>-</v>
      </c>
      <c r="J56" s="18" t="str">
        <f>IFERROR(_xll.KeyLookup($C$3,J$24,J$25,$A56)/$C$4,"-")</f>
        <v>-</v>
      </c>
    </row>
    <row r="57" spans="1:10" x14ac:dyDescent="0.25">
      <c r="A57" s="13">
        <v>411</v>
      </c>
      <c r="B57" t="str">
        <f>_xll.KeyName($C$3,$A57)</f>
        <v>Vaxtaberandi skuldir</v>
      </c>
      <c r="C57" s="1">
        <f>IFERROR(_xll.KeyLookup($C$3,C$24,C$25,$A57)/$C$4,"-")</f>
        <v>5263</v>
      </c>
      <c r="D57" s="1">
        <f>IFERROR(_xll.KeyLookup($C$3,D$24,D$25,$A57)/$C$4,"-")</f>
        <v>5190</v>
      </c>
      <c r="E57" s="1">
        <f>IFERROR(_xll.KeyLookup($C$3,E$24,E$25,$A57)/$C$4,"-")</f>
        <v>4985</v>
      </c>
      <c r="F57" s="1">
        <f>IFERROR(_xll.KeyLookup($C$3,F$24,F$25,$A57)/$C$4,"-")</f>
        <v>4638</v>
      </c>
      <c r="G57" s="1">
        <f>IFERROR(_xll.KeyLookup($C$3,G$24,G$25,$A57)/$C$4,"-")</f>
        <v>4723</v>
      </c>
      <c r="H57" s="1">
        <f>IFERROR(_xll.KeyLookup($C$3,H$24,H$25,$A57)/$C$4,"-")</f>
        <v>4296</v>
      </c>
      <c r="I57" s="1" t="str">
        <f>IFERROR(_xll.KeyLookup($C$3,I$24,I$25,$A57)/$C$4,"-")</f>
        <v>-</v>
      </c>
      <c r="J57" s="1" t="str">
        <f>IFERROR(_xll.KeyLookup($C$3,J$24,J$25,$A57)/$C$4,"-")</f>
        <v>-</v>
      </c>
    </row>
    <row r="58" spans="1:10" x14ac:dyDescent="0.25">
      <c r="A58" s="13">
        <v>415</v>
      </c>
      <c r="B58" t="str">
        <f>_xll.KeyName($C$3,$A58)</f>
        <v>Tekjuskattsskuldbinding</v>
      </c>
      <c r="C58" s="1">
        <f>IFERROR(_xll.KeyLookup($C$3,C$24,C$25,$A58)/$C$4,"-")</f>
        <v>17</v>
      </c>
      <c r="D58" s="1">
        <f>IFERROR(_xll.KeyLookup($C$3,D$24,D$25,$A58)/$C$4,"-")</f>
        <v>36</v>
      </c>
      <c r="E58" s="1">
        <f>IFERROR(_xll.KeyLookup($C$3,E$24,E$25,$A58)/$C$4,"-")</f>
        <v>36</v>
      </c>
      <c r="F58" s="1">
        <f>IFERROR(_xll.KeyLookup($C$3,F$24,F$25,$A58)/$C$4,"-")</f>
        <v>32</v>
      </c>
      <c r="G58" s="1">
        <f>IFERROR(_xll.KeyLookup($C$3,G$24,G$25,$A58)/$C$4,"-")</f>
        <v>31</v>
      </c>
      <c r="H58" s="1">
        <f>IFERROR(_xll.KeyLookup($C$3,H$24,H$25,$A58)/$C$4,"-")</f>
        <v>46</v>
      </c>
      <c r="I58" s="1" t="str">
        <f>IFERROR(_xll.KeyLookup($C$3,I$24,I$25,$A58)/$C$4,"-")</f>
        <v>-</v>
      </c>
      <c r="J58" s="1" t="str">
        <f>IFERROR(_xll.KeyLookup($C$3,J$24,J$25,$A58)/$C$4,"-")</f>
        <v>-</v>
      </c>
    </row>
    <row r="59" spans="1:10" x14ac:dyDescent="0.25">
      <c r="A59" s="16" t="s">
        <v>13</v>
      </c>
      <c r="B59" s="17" t="str">
        <f>_xll.KeyName($C$3,$A59)</f>
        <v>Non Current Liabilities</v>
      </c>
      <c r="C59" s="18">
        <f>IFERROR(_xll.KeyLookup($C$3,C$24,C$25,$A59)/$C$4,"-")</f>
        <v>5280</v>
      </c>
      <c r="D59" s="18">
        <f>IFERROR(_xll.KeyLookup($C$3,D$24,D$25,$A59)/$C$4,"-")</f>
        <v>5226</v>
      </c>
      <c r="E59" s="18">
        <f>IFERROR(_xll.KeyLookup($C$3,E$24,E$25,$A59)/$C$4,"-")</f>
        <v>5021</v>
      </c>
      <c r="F59" s="18">
        <f>IFERROR(_xll.KeyLookup($C$3,F$24,F$25,$A59)/$C$4,"-")</f>
        <v>4670</v>
      </c>
      <c r="G59" s="18">
        <f>IFERROR(_xll.KeyLookup($C$3,G$24,G$25,$A59)/$C$4,"-")</f>
        <v>4754</v>
      </c>
      <c r="H59" s="18">
        <f>IFERROR(_xll.KeyLookup($C$3,H$24,H$25,$A59)/$C$4,"-")</f>
        <v>4342</v>
      </c>
      <c r="I59" s="18" t="str">
        <f>IFERROR(_xll.KeyLookup($C$3,I$24,I$25,$A59)/$C$4,"-")</f>
        <v>-</v>
      </c>
      <c r="J59" s="18" t="str">
        <f>IFERROR(_xll.KeyLookup($C$3,J$24,J$25,$A59)/$C$4,"-")</f>
        <v>-</v>
      </c>
    </row>
    <row r="60" spans="1:10" x14ac:dyDescent="0.25">
      <c r="A60" s="13">
        <v>421</v>
      </c>
      <c r="B60" t="str">
        <f>_xll.KeyName($C$3,$A60)</f>
        <v>Viðskiptaskuldir og aðrar skammtímaskuldir</v>
      </c>
      <c r="C60" s="1">
        <f>IFERROR(_xll.KeyLookup($C$3,C$24,C$25,$A60)/$C$4,"-")</f>
        <v>1766</v>
      </c>
      <c r="D60" s="1">
        <f>IFERROR(_xll.KeyLookup($C$3,D$24,D$25,$A60)/$C$4,"-")</f>
        <v>1893</v>
      </c>
      <c r="E60" s="1">
        <f>IFERROR(_xll.KeyLookup($C$3,E$24,E$25,$A60)/$C$4,"-")</f>
        <v>1827</v>
      </c>
      <c r="F60" s="1">
        <f>IFERROR(_xll.KeyLookup($C$3,F$24,F$25,$A60)/$C$4,"-")</f>
        <v>1804</v>
      </c>
      <c r="G60" s="1">
        <f>IFERROR(_xll.KeyLookup($C$3,G$24,G$25,$A60)/$C$4,"-")</f>
        <v>1843</v>
      </c>
      <c r="H60" s="1">
        <f>IFERROR(_xll.KeyLookup($C$3,H$24,H$25,$A60)/$C$4,"-")</f>
        <v>1769</v>
      </c>
      <c r="I60" s="1" t="str">
        <f>IFERROR(_xll.KeyLookup($C$3,I$24,I$25,$A60)/$C$4,"-")</f>
        <v>-</v>
      </c>
      <c r="J60" s="1" t="str">
        <f>IFERROR(_xll.KeyLookup($C$3,J$24,J$25,$A60)/$C$4,"-")</f>
        <v>-</v>
      </c>
    </row>
    <row r="61" spans="1:10" x14ac:dyDescent="0.25">
      <c r="A61" s="13">
        <v>422</v>
      </c>
      <c r="B61" t="str">
        <f>_xll.KeyName($C$3,$A61)</f>
        <v>Vaxtaberandi skuldir</v>
      </c>
      <c r="C61" s="1">
        <f>IFERROR(_xll.KeyLookup($C$3,C$24,C$25,$A61)/$C$4,"-")</f>
        <v>512</v>
      </c>
      <c r="D61" s="1">
        <f>IFERROR(_xll.KeyLookup($C$3,D$24,D$25,$A61)/$C$4,"-")</f>
        <v>461</v>
      </c>
      <c r="E61" s="1">
        <f>IFERROR(_xll.KeyLookup($C$3,E$24,E$25,$A61)/$C$4,"-")</f>
        <v>461</v>
      </c>
      <c r="F61" s="1">
        <f>IFERROR(_xll.KeyLookup($C$3,F$24,F$25,$A61)/$C$4,"-")</f>
        <v>461</v>
      </c>
      <c r="G61" s="1">
        <f>IFERROR(_xll.KeyLookup($C$3,G$24,G$25,$A61)/$C$4,"-")</f>
        <v>461</v>
      </c>
      <c r="H61" s="1">
        <f>IFERROR(_xll.KeyLookup($C$3,H$24,H$25,$A61)/$C$4,"-")</f>
        <v>296</v>
      </c>
      <c r="I61" s="1" t="str">
        <f>IFERROR(_xll.KeyLookup($C$3,I$24,I$25,$A61)/$C$4,"-")</f>
        <v>-</v>
      </c>
      <c r="J61" s="1" t="str">
        <f>IFERROR(_xll.KeyLookup($C$3,J$24,J$25,$A61)/$C$4,"-")</f>
        <v>-</v>
      </c>
    </row>
    <row r="62" spans="1:10" x14ac:dyDescent="0.25">
      <c r="A62" s="13">
        <v>425</v>
      </c>
      <c r="B62" t="str">
        <f>_xll.KeyName($C$3,$A62)</f>
        <v>Tekjuskattur til greiðslu</v>
      </c>
      <c r="C62" s="1">
        <f>IFERROR(_xll.KeyLookup($C$3,C$24,C$25,$A62)/$C$4,"-")</f>
        <v>15</v>
      </c>
      <c r="D62" s="1">
        <f>IFERROR(_xll.KeyLookup($C$3,D$24,D$25,$A62)/$C$4,"-")</f>
        <v>6</v>
      </c>
      <c r="E62" s="1">
        <f>IFERROR(_xll.KeyLookup($C$3,E$24,E$25,$A62)/$C$4,"-")</f>
        <v>24</v>
      </c>
      <c r="F62" s="1">
        <f>IFERROR(_xll.KeyLookup($C$3,F$24,F$25,$A62)/$C$4,"-")</f>
        <v>33</v>
      </c>
      <c r="G62" s="1">
        <f>IFERROR(_xll.KeyLookup($C$3,G$24,G$25,$A62)/$C$4,"-")</f>
        <v>42</v>
      </c>
      <c r="H62" s="1">
        <f>IFERROR(_xll.KeyLookup($C$3,H$24,H$25,$A62)/$C$4,"-")</f>
        <v>36</v>
      </c>
      <c r="I62" s="1" t="str">
        <f>IFERROR(_xll.KeyLookup($C$3,I$24,I$25,$A62)/$C$4,"-")</f>
        <v>-</v>
      </c>
      <c r="J62" s="1" t="str">
        <f>IFERROR(_xll.KeyLookup($C$3,J$24,J$25,$A62)/$C$4,"-")</f>
        <v>-</v>
      </c>
    </row>
    <row r="63" spans="1:10" x14ac:dyDescent="0.25">
      <c r="A63" s="13">
        <v>426</v>
      </c>
      <c r="B63" t="str">
        <f>_xll.KeyName($C$3,$A63)</f>
        <v>Fyrirframinnheimtar tekjur</v>
      </c>
      <c r="C63" s="1">
        <f>IFERROR(_xll.KeyLookup($C$3,C$24,C$25,$A63)/$C$4,"-")</f>
        <v>117</v>
      </c>
      <c r="D63" s="1">
        <f>IFERROR(_xll.KeyLookup($C$3,D$24,D$25,$A63)/$C$4,"-")</f>
        <v>106</v>
      </c>
      <c r="E63" s="1">
        <f>IFERROR(_xll.KeyLookup($C$3,E$24,E$25,$A63)/$C$4,"-")</f>
        <v>71</v>
      </c>
      <c r="F63" s="1">
        <f>IFERROR(_xll.KeyLookup($C$3,F$24,F$25,$A63)/$C$4,"-")</f>
        <v>65</v>
      </c>
      <c r="G63" s="1">
        <f>IFERROR(_xll.KeyLookup($C$3,G$24,G$25,$A63)/$C$4,"-")</f>
        <v>86</v>
      </c>
      <c r="H63" s="1">
        <f>IFERROR(_xll.KeyLookup($C$3,H$24,H$25,$A63)/$C$4,"-")</f>
        <v>103</v>
      </c>
      <c r="I63" s="1" t="str">
        <f>IFERROR(_xll.KeyLookup($C$3,I$24,I$25,$A63)/$C$4,"-")</f>
        <v>-</v>
      </c>
      <c r="J63" s="1" t="str">
        <f>IFERROR(_xll.KeyLookup($C$3,J$24,J$25,$A63)/$C$4,"-")</f>
        <v>-</v>
      </c>
    </row>
    <row r="64" spans="1:10" x14ac:dyDescent="0.25">
      <c r="A64" s="16" t="s">
        <v>14</v>
      </c>
      <c r="B64" s="17" t="str">
        <f>_xll.KeyName($C$3,$A64)</f>
        <v>Current Liabilities</v>
      </c>
      <c r="C64" s="18">
        <f>IFERROR(_xll.KeyLookup($C$3,C$24,C$25,$A64)/$C$4,"-")</f>
        <v>2410</v>
      </c>
      <c r="D64" s="18">
        <f>IFERROR(_xll.KeyLookup($C$3,D$24,D$25,$A64)/$C$4,"-")</f>
        <v>2466</v>
      </c>
      <c r="E64" s="18">
        <f>IFERROR(_xll.KeyLookup($C$3,E$24,E$25,$A64)/$C$4,"-")</f>
        <v>2383</v>
      </c>
      <c r="F64" s="18">
        <f>IFERROR(_xll.KeyLookup($C$3,F$24,F$25,$A64)/$C$4,"-")</f>
        <v>2363</v>
      </c>
      <c r="G64" s="18">
        <f>IFERROR(_xll.KeyLookup($C$3,G$24,G$25,$A64)/$C$4,"-")</f>
        <v>2432</v>
      </c>
      <c r="H64" s="18">
        <f>IFERROR(_xll.KeyLookup($C$3,H$24,H$25,$A64)/$C$4,"-")</f>
        <v>2204</v>
      </c>
      <c r="I64" s="18" t="str">
        <f>IFERROR(_xll.KeyLookup($C$3,I$24,I$25,$A64)/$C$4,"-")</f>
        <v>-</v>
      </c>
      <c r="J64" s="18" t="str">
        <f>IFERROR(_xll.KeyLookup($C$3,J$24,J$25,$A64)/$C$4,"-")</f>
        <v>-</v>
      </c>
    </row>
    <row r="65" spans="1:10" x14ac:dyDescent="0.25">
      <c r="A65" s="16" t="s">
        <v>15</v>
      </c>
      <c r="B65" s="17" t="str">
        <f>_xll.KeyName($C$3,$A65)</f>
        <v>Total Liabilities</v>
      </c>
      <c r="C65" s="18">
        <f>IFERROR(_xll.KeyLookup($C$3,C$24,C$25,$A65)/$C$4,"-")</f>
        <v>7690</v>
      </c>
      <c r="D65" s="18">
        <f>IFERROR(_xll.KeyLookup($C$3,D$24,D$25,$A65)/$C$4,"-")</f>
        <v>7692</v>
      </c>
      <c r="E65" s="18">
        <f>IFERROR(_xll.KeyLookup($C$3,E$24,E$25,$A65)/$C$4,"-")</f>
        <v>7404</v>
      </c>
      <c r="F65" s="18">
        <f>IFERROR(_xll.KeyLookup($C$3,F$24,F$25,$A65)/$C$4,"-")</f>
        <v>7033</v>
      </c>
      <c r="G65" s="18">
        <f>IFERROR(_xll.KeyLookup($C$3,G$24,G$25,$A65)/$C$4,"-")</f>
        <v>7186</v>
      </c>
      <c r="H65" s="18">
        <f>IFERROR(_xll.KeyLookup($C$3,H$24,H$25,$A65)/$C$4,"-")</f>
        <v>6546</v>
      </c>
      <c r="I65" s="18" t="str">
        <f>IFERROR(_xll.KeyLookup($C$3,I$24,I$25,$A65)/$C$4,"-")</f>
        <v>-</v>
      </c>
      <c r="J65" s="18" t="str">
        <f>IFERROR(_xll.KeyLookup($C$3,J$24,J$25,$A65)/$C$4,"-")</f>
        <v>-</v>
      </c>
    </row>
    <row r="66" spans="1:10" x14ac:dyDescent="0.25">
      <c r="A66" s="16" t="s">
        <v>16</v>
      </c>
      <c r="B66" s="17" t="str">
        <f>_xll.KeyName($C$3,$A66)</f>
        <v>Equity and Liabilities</v>
      </c>
      <c r="C66" s="18">
        <f>IFERROR(_xll.KeyLookup($C$3,C$24,C$25,$A66)/$C$4,"-")</f>
        <v>15393</v>
      </c>
      <c r="D66" s="18">
        <f>IFERROR(_xll.KeyLookup($C$3,D$24,D$25,$A66)/$C$4,"-")</f>
        <v>15599</v>
      </c>
      <c r="E66" s="18">
        <f>IFERROR(_xll.KeyLookup($C$3,E$24,E$25,$A66)/$C$4,"-")</f>
        <v>15748</v>
      </c>
      <c r="F66" s="18">
        <f>IFERROR(_xll.KeyLookup($C$3,F$24,F$25,$A66)/$C$4,"-")</f>
        <v>15536</v>
      </c>
      <c r="G66" s="18">
        <f>IFERROR(_xll.KeyLookup($C$3,G$24,G$25,$A66)/$C$4,"-")</f>
        <v>15648</v>
      </c>
      <c r="H66" s="18">
        <f>IFERROR(_xll.KeyLookup($C$3,H$24,H$25,$A66)/$C$4,"-")</f>
        <v>15310</v>
      </c>
      <c r="I66" s="18" t="str">
        <f>IFERROR(_xll.KeyLookup($C$3,I$24,I$25,$A66)/$C$4,"-")</f>
        <v>-</v>
      </c>
      <c r="J66" s="18" t="str">
        <f>IFERROR(_xll.KeyLookup($C$3,J$24,J$25,$A66)/$C$4,"-")</f>
        <v>-</v>
      </c>
    </row>
    <row r="67" spans="1:10" x14ac:dyDescent="0.25">
      <c r="B67" s="20" t="s">
        <v>50</v>
      </c>
      <c r="C67" s="23">
        <f>IFERROR(C66-C55,"-")</f>
        <v>0</v>
      </c>
      <c r="D67" s="23">
        <f t="shared" ref="D67:J67" si="9">IFERROR(D66-D55,"-")</f>
        <v>0</v>
      </c>
      <c r="E67" s="23">
        <f t="shared" si="9"/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 t="str">
        <f t="shared" si="9"/>
        <v>-</v>
      </c>
      <c r="J67" s="23" t="str">
        <f t="shared" si="9"/>
        <v>-</v>
      </c>
    </row>
    <row r="69" spans="1:10" ht="18.75" x14ac:dyDescent="0.3">
      <c r="A69" s="14"/>
      <c r="B69" s="2" t="s">
        <v>32</v>
      </c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13">
        <v>511</v>
      </c>
      <c r="B70" t="str">
        <f>_xll.KeyName($C$3,$A70)</f>
        <v>Hagnaður (tap) tímabilsins</v>
      </c>
      <c r="C70" s="1">
        <f>IFERROR(_xll.KeyLookup($C$3,C$24,C$25,$A70)/$C$4,"-")</f>
        <v>135</v>
      </c>
      <c r="D70" s="1">
        <f>IFERROR(_xll.KeyLookup($C$3,D$24,D$25,$A70)/$C$4,"-")</f>
        <v>210</v>
      </c>
      <c r="E70" s="1">
        <f>IFERROR(_xll.KeyLookup($C$3,E$24,E$25,$A70)/$C$4,"-")</f>
        <v>476</v>
      </c>
      <c r="F70" s="1">
        <f>IFERROR(_xll.KeyLookup($C$3,F$24,F$25,$A70)/$C$4,"-")</f>
        <v>273</v>
      </c>
      <c r="G70" s="1">
        <f>IFERROR(_xll.KeyLookup($C$3,G$24,G$25,$A70)/$C$4,"-")</f>
        <v>236</v>
      </c>
      <c r="H70" s="1">
        <f>IFERROR(_xll.KeyLookup($C$3,H$24,H$25,$A70)/$C$4,"-")</f>
        <v>301</v>
      </c>
      <c r="I70" s="1" t="str">
        <f>IFERROR(_xll.KeyLookup($C$3,I$24,I$25,$A70)/$C$4,"-")</f>
        <v>-</v>
      </c>
      <c r="J70" s="1" t="str">
        <f>IFERROR(_xll.KeyLookup($C$3,J$24,J$25,$A70)/$C$4,"-")</f>
        <v>-</v>
      </c>
    </row>
    <row r="71" spans="1:10" x14ac:dyDescent="0.25">
      <c r="A71" s="13">
        <v>512</v>
      </c>
      <c r="B71" t="str">
        <f>_xll.KeyName($C$3,$A71)</f>
        <v>Rekstrarliðir sem hafa ekki áhrif á fjárstreymi</v>
      </c>
      <c r="C71" s="1">
        <f>IFERROR(_xll.KeyLookup($C$3,C$24,C$25,$A71)/$C$4,"-")</f>
        <v>497</v>
      </c>
      <c r="D71" s="1">
        <f>IFERROR(_xll.KeyLookup($C$3,D$24,D$25,$A71)/$C$4,"-")</f>
        <v>461</v>
      </c>
      <c r="E71" s="1">
        <f>IFERROR(_xll.KeyLookup($C$3,E$24,E$25,$A71)/$C$4,"-")</f>
        <v>529</v>
      </c>
      <c r="F71" s="1">
        <f>IFERROR(_xll.KeyLookup($C$3,F$24,F$25,$A71)/$C$4,"-")</f>
        <v>508</v>
      </c>
      <c r="G71" s="1">
        <f>IFERROR(_xll.KeyLookup($C$3,G$24,G$25,$A71)/$C$4,"-")</f>
        <v>483</v>
      </c>
      <c r="H71" s="1">
        <f>IFERROR(_xll.KeyLookup($C$3,H$24,H$25,$A71)/$C$4,"-")</f>
        <v>469</v>
      </c>
      <c r="I71" s="1" t="str">
        <f>IFERROR(_xll.KeyLookup($C$3,I$24,I$25,$A71)/$C$4,"-")</f>
        <v>-</v>
      </c>
      <c r="J71" s="1" t="str">
        <f>IFERROR(_xll.KeyLookup($C$3,J$24,J$25,$A71)/$C$4,"-")</f>
        <v>-</v>
      </c>
    </row>
    <row r="72" spans="1:10" x14ac:dyDescent="0.25">
      <c r="A72" s="16" t="s">
        <v>17</v>
      </c>
      <c r="B72" s="17" t="str">
        <f>_xll.KeyName($C$3,$A72)</f>
        <v>Working Capital from Operating Activities</v>
      </c>
      <c r="C72" s="18">
        <f>IFERROR(_xll.KeyLookup($C$3,C$24,C$25,$A72)/$C$4,"-")</f>
        <v>632</v>
      </c>
      <c r="D72" s="18">
        <f>IFERROR(_xll.KeyLookup($C$3,D$24,D$25,$A72)/$C$4,"-")</f>
        <v>671</v>
      </c>
      <c r="E72" s="18">
        <f>IFERROR(_xll.KeyLookup($C$3,E$24,E$25,$A72)/$C$4,"-")</f>
        <v>1005</v>
      </c>
      <c r="F72" s="18">
        <f>IFERROR(_xll.KeyLookup($C$3,F$24,F$25,$A72)/$C$4,"-")</f>
        <v>781</v>
      </c>
      <c r="G72" s="18">
        <f>IFERROR(_xll.KeyLookup($C$3,G$24,G$25,$A72)/$C$4,"-")</f>
        <v>719</v>
      </c>
      <c r="H72" s="18">
        <f>IFERROR(_xll.KeyLookup($C$3,H$24,H$25,$A72)/$C$4,"-")</f>
        <v>770</v>
      </c>
      <c r="I72" s="18" t="str">
        <f>IFERROR(_xll.KeyLookup($C$3,I$24,I$25,$A72)/$C$4,"-")</f>
        <v>-</v>
      </c>
      <c r="J72" s="18" t="str">
        <f>IFERROR(_xll.KeyLookup($C$3,J$24,J$25,$A72)/$C$4,"-")</f>
        <v>-</v>
      </c>
    </row>
    <row r="73" spans="1:10" x14ac:dyDescent="0.25">
      <c r="A73" s="13">
        <v>513</v>
      </c>
      <c r="B73" t="str">
        <f>_xll.KeyName($C$3,$A73)</f>
        <v>Breyting á rekstrartengdum eignum og skuldum</v>
      </c>
      <c r="C73" s="1">
        <f>IFERROR(_xll.KeyLookup($C$3,C$24,C$25,$A73)/$C$4,"-")</f>
        <v>-332</v>
      </c>
      <c r="D73" s="1">
        <f>IFERROR(_xll.KeyLookup($C$3,D$24,D$25,$A73)/$C$4,"-")</f>
        <v>15</v>
      </c>
      <c r="E73" s="1">
        <f>IFERROR(_xll.KeyLookup($C$3,E$24,E$25,$A73)/$C$4,"-")</f>
        <v>-53</v>
      </c>
      <c r="F73" s="1">
        <f>IFERROR(_xll.KeyLookup($C$3,F$24,F$25,$A73)/$C$4,"-")</f>
        <v>146</v>
      </c>
      <c r="G73" s="1">
        <f>IFERROR(_xll.KeyLookup($C$3,G$24,G$25,$A73)/$C$4,"-")</f>
        <v>-84</v>
      </c>
      <c r="H73" s="1">
        <f>IFERROR(_xll.KeyLookup($C$3,H$24,H$25,$A73)/$C$4,"-")</f>
        <v>234</v>
      </c>
      <c r="I73" s="1" t="str">
        <f>IFERROR(_xll.KeyLookup($C$3,I$24,I$25,$A73)/$C$4,"-")</f>
        <v>-</v>
      </c>
      <c r="J73" s="1" t="str">
        <f>IFERROR(_xll.KeyLookup($C$3,J$24,J$25,$A73)/$C$4,"-")</f>
        <v>-</v>
      </c>
    </row>
    <row r="74" spans="1:10" x14ac:dyDescent="0.25">
      <c r="A74" s="16" t="s">
        <v>18</v>
      </c>
      <c r="B74" s="17" t="str">
        <f>_xll.KeyName($C$3,$A74)</f>
        <v>Cash from Operations Before Interest and Taxes</v>
      </c>
      <c r="C74" s="18">
        <f>IFERROR(_xll.KeyLookup($C$3,C$24,C$25,$A74)/$C$4,"-")</f>
        <v>300</v>
      </c>
      <c r="D74" s="18">
        <f>IFERROR(_xll.KeyLookup($C$3,D$24,D$25,$A74)/$C$4,"-")</f>
        <v>686</v>
      </c>
      <c r="E74" s="18">
        <f>IFERROR(_xll.KeyLookup($C$3,E$24,E$25,$A74)/$C$4,"-")</f>
        <v>952</v>
      </c>
      <c r="F74" s="18">
        <f>IFERROR(_xll.KeyLookup($C$3,F$24,F$25,$A74)/$C$4,"-")</f>
        <v>927</v>
      </c>
      <c r="G74" s="18">
        <f>IFERROR(_xll.KeyLookup($C$3,G$24,G$25,$A74)/$C$4,"-")</f>
        <v>635</v>
      </c>
      <c r="H74" s="18">
        <f>IFERROR(_xll.KeyLookup($C$3,H$24,H$25,$A74)/$C$4,"-")</f>
        <v>1004</v>
      </c>
      <c r="I74" s="18" t="str">
        <f>IFERROR(_xll.KeyLookup($C$3,I$24,I$25,$A74)/$C$4,"-")</f>
        <v>-</v>
      </c>
      <c r="J74" s="18" t="str">
        <f>IFERROR(_xll.KeyLookup($C$3,J$24,J$25,$A74)/$C$4,"-")</f>
        <v>-</v>
      </c>
    </row>
    <row r="75" spans="1:10" x14ac:dyDescent="0.25">
      <c r="A75" s="13">
        <v>514</v>
      </c>
      <c r="B75" t="str">
        <f>_xll.KeyName($C$3,$A75)</f>
        <v>Hrein fjármagnsgjöld og skattar mótteknir (greiddir)</v>
      </c>
      <c r="C75" s="1">
        <f>IFERROR(_xll.KeyLookup($C$3,C$24,C$25,$A75)/$C$4,"-")</f>
        <v>-104</v>
      </c>
      <c r="D75" s="1">
        <f>IFERROR(_xll.KeyLookup($C$3,D$24,D$25,$A75)/$C$4,"-")</f>
        <v>-79</v>
      </c>
      <c r="E75" s="1">
        <f>IFERROR(_xll.KeyLookup($C$3,E$24,E$25,$A75)/$C$4,"-")</f>
        <v>-104</v>
      </c>
      <c r="F75" s="1">
        <f>IFERROR(_xll.KeyLookup($C$3,F$24,F$25,$A75)/$C$4,"-")</f>
        <v>-99</v>
      </c>
      <c r="G75" s="1">
        <f>IFERROR(_xll.KeyLookup($C$3,G$24,G$25,$A75)/$C$4,"-")</f>
        <v>-96</v>
      </c>
      <c r="H75" s="1">
        <f>IFERROR(_xll.KeyLookup($C$3,H$24,H$25,$A75)/$C$4,"-")</f>
        <v>-147</v>
      </c>
      <c r="I75" s="1" t="str">
        <f>IFERROR(_xll.KeyLookup($C$3,I$24,I$25,$A75)/$C$4,"-")</f>
        <v>-</v>
      </c>
      <c r="J75" s="1" t="str">
        <f>IFERROR(_xll.KeyLookup($C$3,J$24,J$25,$A75)/$C$4,"-")</f>
        <v>-</v>
      </c>
    </row>
    <row r="76" spans="1:10" x14ac:dyDescent="0.25">
      <c r="A76" s="16" t="s">
        <v>19</v>
      </c>
      <c r="B76" s="17" t="str">
        <f>_xll.KeyName($C$3,$A76)</f>
        <v>Net Cash from Operating Activities</v>
      </c>
      <c r="C76" s="18">
        <f>IFERROR(_xll.KeyLookup($C$3,C$24,C$25,$A76)/$C$4,"-")</f>
        <v>196</v>
      </c>
      <c r="D76" s="18">
        <f>IFERROR(_xll.KeyLookup($C$3,D$24,D$25,$A76)/$C$4,"-")</f>
        <v>607</v>
      </c>
      <c r="E76" s="18">
        <f>IFERROR(_xll.KeyLookup($C$3,E$24,E$25,$A76)/$C$4,"-")</f>
        <v>848</v>
      </c>
      <c r="F76" s="18">
        <f>IFERROR(_xll.KeyLookup($C$3,F$24,F$25,$A76)/$C$4,"-")</f>
        <v>828</v>
      </c>
      <c r="G76" s="18">
        <f>IFERROR(_xll.KeyLookup($C$3,G$24,G$25,$A76)/$C$4,"-")</f>
        <v>539</v>
      </c>
      <c r="H76" s="18">
        <f>IFERROR(_xll.KeyLookup($C$3,H$24,H$25,$A76)/$C$4,"-")</f>
        <v>857</v>
      </c>
      <c r="I76" s="18" t="str">
        <f>IFERROR(_xll.KeyLookup($C$3,I$24,I$25,$A76)/$C$4,"-")</f>
        <v>-</v>
      </c>
      <c r="J76" s="18" t="str">
        <f>IFERROR(_xll.KeyLookup($C$3,J$24,J$25,$A76)/$C$4,"-")</f>
        <v>-</v>
      </c>
    </row>
    <row r="77" spans="1:10" x14ac:dyDescent="0.25">
      <c r="A77" s="13">
        <v>521</v>
      </c>
      <c r="B77" t="str">
        <f>_xll.KeyName($C$3,$A77)</f>
        <v>Fjárfestingarhreyfingar vegna rekstrarfjármuna</v>
      </c>
      <c r="C77" s="1">
        <f>IFERROR(_xll.KeyLookup($C$3,C$24,C$25,$A77)/$C$4,"-")</f>
        <v>-409</v>
      </c>
      <c r="D77" s="1">
        <f>IFERROR(_xll.KeyLookup($C$3,D$24,D$25,$A77)/$C$4,"-")</f>
        <v>-447</v>
      </c>
      <c r="E77" s="1">
        <f>IFERROR(_xll.KeyLookup($C$3,E$24,E$25,$A77)/$C$4,"-")</f>
        <v>-415</v>
      </c>
      <c r="F77" s="1">
        <f>IFERROR(_xll.KeyLookup($C$3,F$24,F$25,$A77)/$C$4,"-")</f>
        <v>-301</v>
      </c>
      <c r="G77" s="1">
        <f>IFERROR(_xll.KeyLookup($C$3,G$24,G$25,$A77)/$C$4,"-")</f>
        <v>-309</v>
      </c>
      <c r="H77" s="1">
        <f>IFERROR(_xll.KeyLookup($C$3,H$24,H$25,$A77)/$C$4,"-")</f>
        <v>-345</v>
      </c>
      <c r="I77" s="1" t="str">
        <f>IFERROR(_xll.KeyLookup($C$3,I$24,I$25,$A77)/$C$4,"-")</f>
        <v>-</v>
      </c>
      <c r="J77" s="1" t="str">
        <f>IFERROR(_xll.KeyLookup($C$3,J$24,J$25,$A77)/$C$4,"-")</f>
        <v>-</v>
      </c>
    </row>
    <row r="78" spans="1:10" x14ac:dyDescent="0.25">
      <c r="A78" s="16" t="s">
        <v>20</v>
      </c>
      <c r="B78" s="17" t="str">
        <f>_xll.KeyName($C$3,$A78)</f>
        <v>Net Cash from Investing Activities</v>
      </c>
      <c r="C78" s="18">
        <f>IFERROR(_xll.KeyLookup($C$3,C$24,C$25,$A78)/$C$4,"-")</f>
        <v>-409</v>
      </c>
      <c r="D78" s="18">
        <f>IFERROR(_xll.KeyLookup($C$3,D$24,D$25,$A78)/$C$4,"-")</f>
        <v>-447</v>
      </c>
      <c r="E78" s="18">
        <f>IFERROR(_xll.KeyLookup($C$3,E$24,E$25,$A78)/$C$4,"-")</f>
        <v>-415</v>
      </c>
      <c r="F78" s="18">
        <f>IFERROR(_xll.KeyLookup($C$3,F$24,F$25,$A78)/$C$4,"-")</f>
        <v>-301</v>
      </c>
      <c r="G78" s="18">
        <f>IFERROR(_xll.KeyLookup($C$3,G$24,G$25,$A78)/$C$4,"-")</f>
        <v>-309</v>
      </c>
      <c r="H78" s="18">
        <f>IFERROR(_xll.KeyLookup($C$3,H$24,H$25,$A78)/$C$4,"-")</f>
        <v>-345</v>
      </c>
      <c r="I78" s="18" t="str">
        <f>IFERROR(_xll.KeyLookup($C$3,I$24,I$25,$A78)/$C$4,"-")</f>
        <v>-</v>
      </c>
      <c r="J78" s="18" t="str">
        <f>IFERROR(_xll.KeyLookup($C$3,J$24,J$25,$A78)/$C$4,"-")</f>
        <v>-</v>
      </c>
    </row>
    <row r="79" spans="1:10" x14ac:dyDescent="0.25">
      <c r="A79" s="13">
        <v>531</v>
      </c>
      <c r="B79" t="str">
        <f>_xll.KeyName($C$3,$A79)</f>
        <v>Fjármögnunarhreyfingar vegna lántöku</v>
      </c>
      <c r="C79" s="1">
        <f>IFERROR(_xll.KeyLookup($C$3,C$24,C$25,$A79)/$C$4,"-")</f>
        <v>123</v>
      </c>
      <c r="D79" s="1">
        <f>IFERROR(_xll.KeyLookup($C$3,D$24,D$25,$A79)/$C$4,"-")</f>
        <v>-124</v>
      </c>
      <c r="E79" s="1">
        <f>IFERROR(_xll.KeyLookup($C$3,E$24,E$25,$A79)/$C$4,"-")</f>
        <v>-205</v>
      </c>
      <c r="F79" s="1">
        <f>IFERROR(_xll.KeyLookup($C$3,F$24,F$25,$A79)/$C$4,"-")</f>
        <v>-347</v>
      </c>
      <c r="G79" s="1">
        <f>IFERROR(_xll.KeyLookup($C$3,G$24,G$25,$A79)/$C$4,"-")</f>
        <v>85</v>
      </c>
      <c r="H79" s="1">
        <f>IFERROR(_xll.KeyLookup($C$3,H$24,H$25,$A79)/$C$4,"-")</f>
        <v>-592</v>
      </c>
      <c r="I79" s="1" t="str">
        <f>IFERROR(_xll.KeyLookup($C$3,I$24,I$25,$A79)/$C$4,"-")</f>
        <v>-</v>
      </c>
      <c r="J79" s="1" t="str">
        <f>IFERROR(_xll.KeyLookup($C$3,J$24,J$25,$A79)/$C$4,"-")</f>
        <v>-</v>
      </c>
    </row>
    <row r="80" spans="1:10" x14ac:dyDescent="0.25">
      <c r="A80" s="13">
        <v>532</v>
      </c>
      <c r="B80" t="str">
        <f>_xll.KeyName($C$3,$A80)</f>
        <v>Aðrar fjármögnunarhreyfingar</v>
      </c>
      <c r="C80" s="1">
        <f>IFERROR(_xll.KeyLookup($C$3,C$24,C$25,$A80)/$C$4,"-")</f>
        <v>0</v>
      </c>
      <c r="D80" s="1">
        <f>IFERROR(_xll.KeyLookup($C$3,D$24,D$25,$A80)/$C$4,"-")</f>
        <v>0</v>
      </c>
      <c r="E80" s="1">
        <f>IFERROR(_xll.KeyLookup($C$3,E$24,E$25,$A80)/$C$4,"-")</f>
        <v>-33</v>
      </c>
      <c r="F80" s="1">
        <f>IFERROR(_xll.KeyLookup($C$3,F$24,F$25,$A80)/$C$4,"-")</f>
        <v>-123</v>
      </c>
      <c r="G80" s="1">
        <f>IFERROR(_xll.KeyLookup($C$3,G$24,G$25,$A80)/$C$4,"-")</f>
        <v>-232</v>
      </c>
      <c r="H80" s="1">
        <f>IFERROR(_xll.KeyLookup($C$3,H$24,H$25,$A80)/$C$4,"-")</f>
        <v>0</v>
      </c>
      <c r="I80" s="1" t="str">
        <f>IFERROR(_xll.KeyLookup($C$3,I$24,I$25,$A80)/$C$4,"-")</f>
        <v>-</v>
      </c>
      <c r="J80" s="1" t="str">
        <f>IFERROR(_xll.KeyLookup($C$3,J$24,J$25,$A80)/$C$4,"-")</f>
        <v>-</v>
      </c>
    </row>
    <row r="81" spans="1:10" x14ac:dyDescent="0.25">
      <c r="A81" s="16" t="s">
        <v>21</v>
      </c>
      <c r="B81" s="17" t="str">
        <f>_xll.KeyName($C$3,$A81)</f>
        <v>Net Cash from Financing Activities</v>
      </c>
      <c r="C81" s="18">
        <f>IFERROR(_xll.KeyLookup($C$3,C$24,C$25,$A81)/$C$4,"-")</f>
        <v>123</v>
      </c>
      <c r="D81" s="18">
        <f>IFERROR(_xll.KeyLookup($C$3,D$24,D$25,$A81)/$C$4,"-")</f>
        <v>-124</v>
      </c>
      <c r="E81" s="18">
        <f>IFERROR(_xll.KeyLookup($C$3,E$24,E$25,$A81)/$C$4,"-")</f>
        <v>-238</v>
      </c>
      <c r="F81" s="18">
        <f>IFERROR(_xll.KeyLookup($C$3,F$24,F$25,$A81)/$C$4,"-")</f>
        <v>-470</v>
      </c>
      <c r="G81" s="18">
        <f>IFERROR(_xll.KeyLookup($C$3,G$24,G$25,$A81)/$C$4,"-")</f>
        <v>-147</v>
      </c>
      <c r="H81" s="18">
        <f>IFERROR(_xll.KeyLookup($C$3,H$24,H$25,$A81)/$C$4,"-")</f>
        <v>-592</v>
      </c>
      <c r="I81" s="18" t="str">
        <f>IFERROR(_xll.KeyLookup($C$3,I$24,I$25,$A81)/$C$4,"-")</f>
        <v>-</v>
      </c>
      <c r="J81" s="18" t="str">
        <f>IFERROR(_xll.KeyLookup($C$3,J$24,J$25,$A81)/$C$4,"-")</f>
        <v>-</v>
      </c>
    </row>
    <row r="82" spans="1:10" x14ac:dyDescent="0.25">
      <c r="A82" s="16" t="s">
        <v>22</v>
      </c>
      <c r="B82" s="17" t="str">
        <f>_xll.KeyName($C$3,$A82)</f>
        <v>Change in Cash and Cash Equivalents</v>
      </c>
      <c r="C82" s="18">
        <f>IFERROR(_xll.KeyLookup($C$3,C$24,C$25,$A82)/$C$4,"-")</f>
        <v>-90</v>
      </c>
      <c r="D82" s="18">
        <f>IFERROR(_xll.KeyLookup($C$3,D$24,D$25,$A82)/$C$4,"-")</f>
        <v>36</v>
      </c>
      <c r="E82" s="18">
        <f>IFERROR(_xll.KeyLookup($C$3,E$24,E$25,$A82)/$C$4,"-")</f>
        <v>195</v>
      </c>
      <c r="F82" s="18">
        <f>IFERROR(_xll.KeyLookup($C$3,F$24,F$25,$A82)/$C$4,"-")</f>
        <v>57</v>
      </c>
      <c r="G82" s="18">
        <f>IFERROR(_xll.KeyLookup($C$3,G$24,G$25,$A82)/$C$4,"-")</f>
        <v>83</v>
      </c>
      <c r="H82" s="18">
        <f>IFERROR(_xll.KeyLookup($C$3,H$24,H$25,$A82)/$C$4,"-")</f>
        <v>-80</v>
      </c>
      <c r="I82" s="18" t="str">
        <f>IFERROR(_xll.KeyLookup($C$3,I$24,I$25,$A82)/$C$4,"-")</f>
        <v>-</v>
      </c>
      <c r="J82" s="18" t="str">
        <f>IFERROR(_xll.KeyLookup($C$3,J$24,J$25,$A82)/$C$4,"-")</f>
        <v>-</v>
      </c>
    </row>
    <row r="83" spans="1:10" x14ac:dyDescent="0.25">
      <c r="A83" s="13">
        <v>541</v>
      </c>
      <c r="B83" t="str">
        <f>_xll.KeyName($C$3,$A83)</f>
        <v>Áhrif gengisbreytinga á handbært fé</v>
      </c>
      <c r="C83" s="1">
        <f>IFERROR(_xll.KeyLookup($C$3,C$24,C$25,$A83)/$C$4,"-")</f>
        <v>-5</v>
      </c>
      <c r="D83" s="1">
        <f>IFERROR(_xll.KeyLookup($C$3,D$24,D$25,$A83)/$C$4,"-")</f>
        <v>1</v>
      </c>
      <c r="E83" s="1">
        <f>IFERROR(_xll.KeyLookup($C$3,E$24,E$25,$A83)/$C$4,"-")</f>
        <v>-2</v>
      </c>
      <c r="F83" s="1">
        <f>IFERROR(_xll.KeyLookup($C$3,F$24,F$25,$A83)/$C$4,"-")</f>
        <v>1</v>
      </c>
      <c r="G83" s="1">
        <f>IFERROR(_xll.KeyLookup($C$3,G$24,G$25,$A83)/$C$4,"-")</f>
        <v>-11</v>
      </c>
      <c r="H83" s="1">
        <f>IFERROR(_xll.KeyLookup($C$3,H$24,H$25,$A83)/$C$4,"-")</f>
        <v>-3</v>
      </c>
      <c r="I83" s="1" t="str">
        <f>IFERROR(_xll.KeyLookup($C$3,I$24,I$25,$A83)/$C$4,"-")</f>
        <v>-</v>
      </c>
      <c r="J83" s="1" t="str">
        <f>IFERROR(_xll.KeyLookup($C$3,J$24,J$25,$A83)/$C$4,"-")</f>
        <v>-</v>
      </c>
    </row>
    <row r="84" spans="1:10" x14ac:dyDescent="0.25">
      <c r="A84" s="15">
        <v>551</v>
      </c>
      <c r="B84" s="11" t="str">
        <f>_xll.KeyName($C$3,$A84)</f>
        <v>Handbært fé í ársbyrjun</v>
      </c>
      <c r="C84" s="12">
        <f>IFERROR(_xll.KeyLookup($C$3,C$24,C$25,$A84)/$C$4,"-")</f>
        <v>335</v>
      </c>
      <c r="D84" s="12">
        <f>IFERROR(_xll.KeyLookup($C$3,D$24,D$25,$A84)/$C$4,"-")</f>
        <v>240</v>
      </c>
      <c r="E84" s="12">
        <f>IFERROR(_xll.KeyLookup($C$3,E$24,E$25,$A84)/$C$4,"-")</f>
        <v>277</v>
      </c>
      <c r="F84" s="12">
        <f>IFERROR(_xll.KeyLookup($C$3,F$24,F$25,$A84)/$C$4,"-")</f>
        <v>470</v>
      </c>
      <c r="G84" s="12">
        <f>IFERROR(_xll.KeyLookup($C$3,G$24,G$25,$A84)/$C$4,"-")</f>
        <v>528</v>
      </c>
      <c r="H84" s="12">
        <f>IFERROR(_xll.KeyLookup($C$3,H$24,H$25,$A84)/$C$4,"-")</f>
        <v>600</v>
      </c>
      <c r="I84" s="12" t="str">
        <f>IFERROR(_xll.KeyLookup($C$3,I$24,I$25,$A84)/$C$4,"-")</f>
        <v>-</v>
      </c>
      <c r="J84" s="12" t="str">
        <f>IFERROR(_xll.KeyLookup($C$3,J$24,J$25,$A84)/$C$4,"-")</f>
        <v>-</v>
      </c>
    </row>
    <row r="85" spans="1:10" x14ac:dyDescent="0.25">
      <c r="A85" s="16" t="s">
        <v>23</v>
      </c>
      <c r="B85" s="17" t="str">
        <f>_xll.KeyName($C$3,$A85)</f>
        <v>Cash at the End of the Period</v>
      </c>
      <c r="C85" s="18">
        <f>IFERROR(_xll.KeyLookup($C$3,C$24,C$25,$A85)/$C$4,"-")</f>
        <v>240</v>
      </c>
      <c r="D85" s="18">
        <f>IFERROR(_xll.KeyLookup($C$3,D$24,D$25,$A85)/$C$4,"-")</f>
        <v>277</v>
      </c>
      <c r="E85" s="18">
        <f>IFERROR(_xll.KeyLookup($C$3,E$24,E$25,$A85)/$C$4,"-")</f>
        <v>470</v>
      </c>
      <c r="F85" s="18">
        <f>IFERROR(_xll.KeyLookup($C$3,F$24,F$25,$A85)/$C$4,"-")</f>
        <v>528</v>
      </c>
      <c r="G85" s="18">
        <f>IFERROR(_xll.KeyLookup($C$3,G$24,G$25,$A85)/$C$4,"-")</f>
        <v>600</v>
      </c>
      <c r="H85" s="18">
        <f>IFERROR(_xll.KeyLookup($C$3,H$24,H$25,$A85)/$C$4,"-")</f>
        <v>517</v>
      </c>
      <c r="I85" s="18" t="str">
        <f>IFERROR(_xll.KeyLookup($C$3,I$24,I$25,$A85)/$C$4,"-")</f>
        <v>-</v>
      </c>
      <c r="J85" s="18" t="str">
        <f>IFERROR(_xll.KeyLookup($C$3,J$24,J$25,$A85)/$C$4,"-")</f>
        <v>-</v>
      </c>
    </row>
    <row r="86" spans="1:10" x14ac:dyDescent="0.25">
      <c r="B86" s="20" t="s">
        <v>51</v>
      </c>
      <c r="C86" s="23"/>
      <c r="D86" s="23">
        <f>IFERROR(D84-C85,"-")</f>
        <v>0</v>
      </c>
      <c r="E86" s="23">
        <f t="shared" ref="E86:J86" si="10">IFERROR(E84-D85,"-")</f>
        <v>0</v>
      </c>
      <c r="F86" s="23">
        <f t="shared" si="10"/>
        <v>0</v>
      </c>
      <c r="G86" s="23">
        <f t="shared" si="10"/>
        <v>0</v>
      </c>
      <c r="H86" s="23">
        <f t="shared" si="10"/>
        <v>0</v>
      </c>
      <c r="I86" s="23" t="str">
        <f t="shared" si="10"/>
        <v>-</v>
      </c>
      <c r="J86" s="23" t="str">
        <f t="shared" si="10"/>
        <v>-</v>
      </c>
    </row>
    <row r="87" spans="1:10" x14ac:dyDescent="0.25">
      <c r="B87" s="20" t="s">
        <v>52</v>
      </c>
      <c r="C87" s="23">
        <f>IFERROR(C85-C53,"-")</f>
        <v>0</v>
      </c>
      <c r="D87" s="23">
        <f t="shared" ref="D87:J87" si="11">IFERROR(D85-D53,"-")</f>
        <v>0</v>
      </c>
      <c r="E87" s="23">
        <f t="shared" si="11"/>
        <v>0</v>
      </c>
      <c r="F87" s="23">
        <f t="shared" si="11"/>
        <v>0</v>
      </c>
      <c r="G87" s="23">
        <f t="shared" si="11"/>
        <v>0</v>
      </c>
      <c r="H87" s="23">
        <f t="shared" si="11"/>
        <v>0</v>
      </c>
      <c r="I87" s="23" t="str">
        <f t="shared" si="11"/>
        <v>-</v>
      </c>
      <c r="J87" s="23" t="str">
        <f t="shared" si="11"/>
        <v>-</v>
      </c>
    </row>
    <row r="88" spans="1:10" x14ac:dyDescent="0.25">
      <c r="B88" s="20" t="s">
        <v>53</v>
      </c>
      <c r="C88" s="23"/>
      <c r="D88" s="23">
        <f>IFERROR(D82-(D53-C53)+D83,"-")</f>
        <v>0</v>
      </c>
      <c r="E88" s="23">
        <f t="shared" ref="E88:J88" si="12">IFERROR(E82-(E53-D53)+E83,"-")</f>
        <v>0</v>
      </c>
      <c r="F88" s="23">
        <f t="shared" si="12"/>
        <v>0</v>
      </c>
      <c r="G88" s="23">
        <f t="shared" si="12"/>
        <v>0</v>
      </c>
      <c r="H88" s="23">
        <f t="shared" si="12"/>
        <v>0</v>
      </c>
      <c r="I88" s="23" t="str">
        <f t="shared" si="12"/>
        <v>-</v>
      </c>
      <c r="J88" s="23" t="str">
        <f t="shared" si="12"/>
        <v>-</v>
      </c>
    </row>
  </sheetData>
  <conditionalFormatting sqref="C67:J67">
    <cfRule type="cellIs" dxfId="3" priority="4" operator="notEqual">
      <formula>0</formula>
    </cfRule>
  </conditionalFormatting>
  <conditionalFormatting sqref="C86:J86">
    <cfRule type="cellIs" dxfId="2" priority="3" operator="notEqual">
      <formula>0</formula>
    </cfRule>
  </conditionalFormatting>
  <conditionalFormatting sqref="C87:J87">
    <cfRule type="cellIs" dxfId="1" priority="2" operator="notEqual">
      <formula>0</formula>
    </cfRule>
  </conditionalFormatting>
  <conditionalFormatting sqref="C88:J88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einaroddsson</dc:creator>
  <cp:lastModifiedBy>einaroddsson</cp:lastModifiedBy>
  <dcterms:created xsi:type="dcterms:W3CDTF">2015-08-20T09:25:43Z</dcterms:created>
  <dcterms:modified xsi:type="dcterms:W3CDTF">2015-08-20T13:11:38Z</dcterms:modified>
</cp:coreProperties>
</file>