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inaroddsson On My Mac\Dropbox\base_einar\projects\kodi\kodiak_excel\official_demodocs\companies\"/>
    </mc:Choice>
  </mc:AlternateContent>
  <bookViews>
    <workbookView xWindow="0" yWindow="0" windowWidth="14925" windowHeight="8520"/>
  </bookViews>
  <sheets>
    <sheet name="Sheet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" l="1"/>
  <c r="P16" i="1"/>
  <c r="P13" i="1"/>
  <c r="P5" i="1"/>
  <c r="P11" i="1"/>
  <c r="P7" i="1"/>
  <c r="P8" i="1"/>
  <c r="P6" i="1"/>
  <c r="P9" i="1" l="1"/>
  <c r="P10" i="1" s="1"/>
  <c r="O18" i="1"/>
  <c r="O16" i="1"/>
  <c r="M16" i="1"/>
  <c r="N16" i="1"/>
  <c r="M18" i="1"/>
  <c r="N18" i="1"/>
  <c r="M59" i="1"/>
  <c r="I59" i="1"/>
  <c r="E59" i="1"/>
  <c r="N59" i="1"/>
  <c r="J59" i="1"/>
  <c r="F59" i="1"/>
  <c r="B59" i="1"/>
  <c r="L58" i="1"/>
  <c r="H58" i="1"/>
  <c r="D58" i="1"/>
  <c r="O58" i="1"/>
  <c r="K58" i="1"/>
  <c r="G58" i="1"/>
  <c r="C58" i="1"/>
  <c r="O59" i="1"/>
  <c r="K59" i="1"/>
  <c r="G59" i="1"/>
  <c r="C59" i="1"/>
  <c r="L59" i="1"/>
  <c r="H59" i="1"/>
  <c r="D59" i="1"/>
  <c r="N58" i="1"/>
  <c r="J58" i="1"/>
  <c r="F58" i="1"/>
  <c r="B58" i="1"/>
  <c r="M58" i="1"/>
  <c r="I58" i="1"/>
  <c r="E58" i="1"/>
  <c r="N57" i="1"/>
  <c r="O123" i="1"/>
  <c r="O79" i="1"/>
  <c r="O61" i="1"/>
  <c r="M8" i="1"/>
  <c r="O93" i="1"/>
  <c r="O45" i="1"/>
  <c r="O62" i="1"/>
  <c r="O107" i="1"/>
  <c r="O31" i="1"/>
  <c r="O46" i="1"/>
  <c r="O124" i="1"/>
  <c r="O86" i="1"/>
  <c r="O32" i="1"/>
  <c r="O115" i="1"/>
  <c r="O100" i="1"/>
  <c r="O69" i="1"/>
  <c r="O129" i="1"/>
  <c r="O85" i="1"/>
  <c r="O53" i="1"/>
  <c r="O70" i="1"/>
  <c r="O99" i="1"/>
  <c r="O39" i="1"/>
  <c r="O54" i="1"/>
  <c r="O116" i="1"/>
  <c r="O23" i="1"/>
  <c r="O56" i="1"/>
  <c r="O130" i="1"/>
  <c r="O92" i="1"/>
  <c r="O26" i="1"/>
  <c r="O121" i="1"/>
  <c r="O106" i="1"/>
  <c r="O63" i="1"/>
  <c r="M7" i="1"/>
  <c r="O91" i="1"/>
  <c r="O47" i="1"/>
  <c r="O64" i="1"/>
  <c r="O105" i="1"/>
  <c r="O33" i="1"/>
  <c r="O48" i="1"/>
  <c r="O122" i="1"/>
  <c r="O84" i="1"/>
  <c r="O34" i="1"/>
  <c r="O113" i="1"/>
  <c r="O98" i="1"/>
  <c r="O71" i="1"/>
  <c r="O127" i="1"/>
  <c r="O83" i="1"/>
  <c r="O55" i="1"/>
  <c r="O72" i="1"/>
  <c r="O97" i="1"/>
  <c r="O41" i="1"/>
  <c r="O74" i="1"/>
  <c r="O75" i="1"/>
  <c r="O114" i="1"/>
  <c r="O27" i="1"/>
  <c r="O42" i="1"/>
  <c r="O128" i="1"/>
  <c r="O90" i="1"/>
  <c r="O28" i="1"/>
  <c r="O119" i="1"/>
  <c r="O104" i="1"/>
  <c r="O65" i="1"/>
  <c r="O133" i="1"/>
  <c r="O89" i="1"/>
  <c r="O49" i="1"/>
  <c r="O66" i="1"/>
  <c r="O103" i="1"/>
  <c r="O35" i="1"/>
  <c r="O50" i="1"/>
  <c r="O120" i="1"/>
  <c r="O82" i="1"/>
  <c r="O36" i="1"/>
  <c r="O134" i="1"/>
  <c r="O96" i="1"/>
  <c r="O73" i="1"/>
  <c r="O125" i="1"/>
  <c r="O81" i="1"/>
  <c r="O57" i="1"/>
  <c r="M6" i="1"/>
  <c r="O95" i="1"/>
  <c r="O43" i="1"/>
  <c r="O60" i="1"/>
  <c r="O112" i="1"/>
  <c r="O29" i="1"/>
  <c r="O44" i="1"/>
  <c r="O126" i="1"/>
  <c r="O88" i="1"/>
  <c r="O30" i="1"/>
  <c r="O117" i="1"/>
  <c r="O102" i="1"/>
  <c r="O67" i="1"/>
  <c r="O131" i="1"/>
  <c r="O87" i="1"/>
  <c r="O51" i="1"/>
  <c r="O68" i="1"/>
  <c r="O101" i="1"/>
  <c r="O37" i="1"/>
  <c r="O52" i="1"/>
  <c r="O118" i="1"/>
  <c r="O80" i="1"/>
  <c r="O38" i="1"/>
  <c r="O132" i="1"/>
  <c r="O94" i="1"/>
  <c r="O40" i="1"/>
  <c r="P133" i="1"/>
  <c r="P131" i="1"/>
  <c r="P129" i="1"/>
  <c r="P127" i="1"/>
  <c r="P125" i="1"/>
  <c r="P123" i="1"/>
  <c r="P121" i="1"/>
  <c r="P119" i="1"/>
  <c r="P117" i="1"/>
  <c r="P115" i="1"/>
  <c r="P113" i="1"/>
  <c r="P134" i="1"/>
  <c r="P132" i="1"/>
  <c r="P130" i="1"/>
  <c r="P128" i="1"/>
  <c r="P126" i="1"/>
  <c r="P124" i="1"/>
  <c r="P122" i="1"/>
  <c r="P120" i="1"/>
  <c r="P118" i="1"/>
  <c r="P116" i="1"/>
  <c r="P114" i="1"/>
  <c r="P112" i="1"/>
  <c r="P107" i="1"/>
  <c r="P105" i="1"/>
  <c r="P103" i="1"/>
  <c r="P101" i="1"/>
  <c r="P99" i="1"/>
  <c r="P97" i="1"/>
  <c r="P95" i="1"/>
  <c r="P93" i="1"/>
  <c r="P91" i="1"/>
  <c r="P89" i="1"/>
  <c r="P87" i="1"/>
  <c r="P85" i="1"/>
  <c r="P83" i="1"/>
  <c r="P81" i="1"/>
  <c r="P79" i="1"/>
  <c r="P106" i="1"/>
  <c r="P104" i="1"/>
  <c r="P102" i="1"/>
  <c r="P100" i="1"/>
  <c r="P98" i="1"/>
  <c r="P96" i="1"/>
  <c r="P94" i="1"/>
  <c r="P92" i="1"/>
  <c r="P90" i="1"/>
  <c r="P88" i="1"/>
  <c r="P86" i="1"/>
  <c r="P84" i="1"/>
  <c r="P82" i="1"/>
  <c r="P80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3" i="1"/>
  <c r="P17" i="1" l="1"/>
  <c r="P12" i="1"/>
  <c r="P24" i="1"/>
  <c r="P25" i="1"/>
  <c r="O13" i="1"/>
  <c r="M9" i="1"/>
  <c r="M10" i="1" s="1"/>
  <c r="O108" i="1"/>
  <c r="P19" i="1" l="1"/>
  <c r="P14" i="1"/>
  <c r="P15" i="1" s="1"/>
  <c r="C5" i="1"/>
  <c r="D5" i="1" l="1"/>
  <c r="N5" i="1" l="1"/>
  <c r="O5" i="1" l="1"/>
  <c r="E5" i="1"/>
  <c r="F5" i="1" l="1"/>
  <c r="B95" i="1"/>
  <c r="B105" i="1"/>
  <c r="B89" i="1"/>
  <c r="B84" i="1"/>
  <c r="B62" i="1"/>
  <c r="B50" i="1"/>
  <c r="B26" i="1"/>
  <c r="C44" i="1"/>
  <c r="C95" i="1"/>
  <c r="C119" i="1"/>
  <c r="F49" i="1"/>
  <c r="F100" i="1"/>
  <c r="B23" i="1"/>
  <c r="B71" i="1"/>
  <c r="B38" i="1"/>
  <c r="B75" i="1"/>
  <c r="B73" i="1"/>
  <c r="B47" i="1"/>
  <c r="B30" i="1"/>
  <c r="C50" i="1"/>
  <c r="C98" i="1"/>
  <c r="C125" i="1"/>
  <c r="F55" i="1"/>
  <c r="F106" i="1"/>
  <c r="F130" i="1"/>
  <c r="D62" i="1"/>
  <c r="D28" i="1"/>
  <c r="C49" i="1"/>
  <c r="D68" i="1"/>
  <c r="C55" i="1"/>
  <c r="C92" i="1"/>
  <c r="C116" i="1"/>
  <c r="B102" i="1"/>
  <c r="B86" i="1"/>
  <c r="B42" i="1"/>
  <c r="C40" i="1"/>
  <c r="C115" i="1"/>
  <c r="F96" i="1"/>
  <c r="B126" i="1"/>
  <c r="B113" i="1"/>
  <c r="B52" i="1"/>
  <c r="C46" i="1"/>
  <c r="C121" i="1"/>
  <c r="B115" i="1"/>
  <c r="B56" i="1"/>
  <c r="B134" i="1"/>
  <c r="A11" i="1"/>
  <c r="B80" i="1"/>
  <c r="B44" i="1"/>
  <c r="B27" i="1"/>
  <c r="C52" i="1"/>
  <c r="C100" i="1"/>
  <c r="C127" i="1"/>
  <c r="F57" i="1"/>
  <c r="F23" i="1"/>
  <c r="F132" i="1"/>
  <c r="B92" i="1"/>
  <c r="B88" i="1"/>
  <c r="B90" i="1"/>
  <c r="B94" i="1"/>
  <c r="B51" i="1"/>
  <c r="B34" i="1"/>
  <c r="C60" i="1"/>
  <c r="C26" i="1"/>
  <c r="C133" i="1"/>
  <c r="F65" i="1"/>
  <c r="F31" i="1"/>
  <c r="F82" i="1"/>
  <c r="D70" i="1"/>
  <c r="D36" i="1"/>
  <c r="C57" i="1"/>
  <c r="F120" i="1"/>
  <c r="C73" i="1"/>
  <c r="C107" i="1"/>
  <c r="C124" i="1"/>
  <c r="B41" i="1"/>
  <c r="B57" i="1"/>
  <c r="B54" i="1"/>
  <c r="C56" i="1"/>
  <c r="C131" i="1"/>
  <c r="F29" i="1"/>
  <c r="B128" i="1"/>
  <c r="B123" i="1"/>
  <c r="B49" i="1"/>
  <c r="C64" i="1"/>
  <c r="C81" i="1"/>
  <c r="F35" i="1"/>
  <c r="D74" i="1"/>
  <c r="C63" i="1"/>
  <c r="D26" i="1"/>
  <c r="C128" i="1"/>
  <c r="F46" i="1"/>
  <c r="F97" i="1"/>
  <c r="F121" i="1"/>
  <c r="D51" i="1"/>
  <c r="D102" i="1"/>
  <c r="D126" i="1"/>
  <c r="E56" i="1"/>
  <c r="E107" i="1"/>
  <c r="E131" i="1"/>
  <c r="K65" i="1"/>
  <c r="M29" i="1"/>
  <c r="D79" i="1"/>
  <c r="D64" i="1"/>
  <c r="C51" i="1"/>
  <c r="C90" i="1"/>
  <c r="C114" i="1"/>
  <c r="D56" i="1"/>
  <c r="C47" i="1"/>
  <c r="F38" i="1"/>
  <c r="F113" i="1"/>
  <c r="D94" i="1"/>
  <c r="E48" i="1"/>
  <c r="E123" i="1"/>
  <c r="D103" i="1"/>
  <c r="B100" i="1"/>
  <c r="B98" i="1"/>
  <c r="B87" i="1"/>
  <c r="B103" i="1"/>
  <c r="B45" i="1"/>
  <c r="B35" i="1"/>
  <c r="C62" i="1"/>
  <c r="C28" i="1"/>
  <c r="C79" i="1"/>
  <c r="F67" i="1"/>
  <c r="F33" i="1"/>
  <c r="F84" i="1"/>
  <c r="B131" i="1"/>
  <c r="B81" i="1"/>
  <c r="B70" i="1"/>
  <c r="B122" i="1"/>
  <c r="B65" i="1"/>
  <c r="B40" i="1"/>
  <c r="C68" i="1"/>
  <c r="C34" i="1"/>
  <c r="C85" i="1"/>
  <c r="F73" i="1"/>
  <c r="F39" i="1"/>
  <c r="F90" i="1"/>
  <c r="F114" i="1"/>
  <c r="D44" i="1"/>
  <c r="C67" i="1"/>
  <c r="C33" i="1"/>
  <c r="D34" i="1"/>
  <c r="C23" i="1"/>
  <c r="C132" i="1"/>
  <c r="B79" i="1"/>
  <c r="B83" i="1"/>
  <c r="B63" i="1"/>
  <c r="C74" i="1"/>
  <c r="C91" i="1"/>
  <c r="F45" i="1"/>
  <c r="B121" i="1"/>
  <c r="B116" i="1"/>
  <c r="B66" i="1"/>
  <c r="B28" i="1"/>
  <c r="C97" i="1"/>
  <c r="F51" i="1"/>
  <c r="B118" i="1"/>
  <c r="B114" i="1"/>
  <c r="B117" i="1"/>
  <c r="B120" i="1"/>
  <c r="B61" i="1"/>
  <c r="B39" i="1"/>
  <c r="C70" i="1"/>
  <c r="C36" i="1"/>
  <c r="C87" i="1"/>
  <c r="F75" i="1"/>
  <c r="F41" i="1"/>
  <c r="F92" i="1"/>
  <c r="B97" i="1"/>
  <c r="B129" i="1"/>
  <c r="B107" i="1"/>
  <c r="B112" i="1"/>
  <c r="B68" i="1"/>
  <c r="B53" i="1"/>
  <c r="B29" i="1"/>
  <c r="C42" i="1"/>
  <c r="C93" i="1"/>
  <c r="C117" i="1"/>
  <c r="F47" i="1"/>
  <c r="F98" i="1"/>
  <c r="F122" i="1"/>
  <c r="D52" i="1"/>
  <c r="C75" i="1"/>
  <c r="C41" i="1"/>
  <c r="D50" i="1"/>
  <c r="C39" i="1"/>
  <c r="C84" i="1"/>
  <c r="F72" i="1"/>
  <c r="B74" i="1"/>
  <c r="B69" i="1"/>
  <c r="B33" i="1"/>
  <c r="C104" i="1"/>
  <c r="F63" i="1"/>
  <c r="F80" i="1"/>
  <c r="B125" i="1"/>
  <c r="B130" i="1"/>
  <c r="B37" i="1"/>
  <c r="C30" i="1"/>
  <c r="F69" i="1"/>
  <c r="F86" i="1"/>
  <c r="D40" i="1"/>
  <c r="C29" i="1"/>
  <c r="C101" i="1"/>
  <c r="F64" i="1"/>
  <c r="F30" i="1"/>
  <c r="F81" i="1"/>
  <c r="D69" i="1"/>
  <c r="D35" i="1"/>
  <c r="D86" i="1"/>
  <c r="E74" i="1"/>
  <c r="E40" i="1"/>
  <c r="E91" i="1"/>
  <c r="E115" i="1"/>
  <c r="M42" i="1"/>
  <c r="D95" i="1"/>
  <c r="D119" i="1"/>
  <c r="D30" i="1"/>
  <c r="C103" i="1"/>
  <c r="C130" i="1"/>
  <c r="F102" i="1"/>
  <c r="C45" i="1"/>
  <c r="C112" i="1"/>
  <c r="F89" i="1"/>
  <c r="D43" i="1"/>
  <c r="D118" i="1"/>
  <c r="E99" i="1"/>
  <c r="L61" i="1"/>
  <c r="D127" i="1"/>
  <c r="C35" i="1"/>
  <c r="F70" i="1"/>
  <c r="B101" i="1"/>
  <c r="C32" i="1"/>
  <c r="F88" i="1"/>
  <c r="B96" i="1"/>
  <c r="C38" i="1"/>
  <c r="F94" i="1"/>
  <c r="C37" i="1"/>
  <c r="F68" i="1"/>
  <c r="F85" i="1"/>
  <c r="D39" i="1"/>
  <c r="D46" i="1"/>
  <c r="B91" i="1"/>
  <c r="F71" i="1"/>
  <c r="B55" i="1"/>
  <c r="D48" i="1"/>
  <c r="F34" i="1"/>
  <c r="D90" i="1"/>
  <c r="E44" i="1"/>
  <c r="E119" i="1"/>
  <c r="D99" i="1"/>
  <c r="D38" i="1"/>
  <c r="C134" i="1"/>
  <c r="F48" i="1"/>
  <c r="F99" i="1"/>
  <c r="F123" i="1"/>
  <c r="D53" i="1"/>
  <c r="D104" i="1"/>
  <c r="D128" i="1"/>
  <c r="E60" i="1"/>
  <c r="E26" i="1"/>
  <c r="E133" i="1"/>
  <c r="J65" i="1"/>
  <c r="L31" i="1"/>
  <c r="D81" i="1"/>
  <c r="E69" i="1"/>
  <c r="E35" i="1"/>
  <c r="E86" i="1"/>
  <c r="K23" i="1"/>
  <c r="E71" i="1"/>
  <c r="I42" i="1"/>
  <c r="I61" i="1"/>
  <c r="L26" i="1"/>
  <c r="C123" i="1"/>
  <c r="C129" i="1"/>
  <c r="F42" i="1"/>
  <c r="D122" i="1"/>
  <c r="D54" i="1"/>
  <c r="F103" i="1"/>
  <c r="D23" i="1"/>
  <c r="E30" i="1"/>
  <c r="E73" i="1"/>
  <c r="E23" i="1"/>
  <c r="E113" i="1"/>
  <c r="E122" i="1"/>
  <c r="E116" i="1"/>
  <c r="F126" i="1"/>
  <c r="D60" i="1"/>
  <c r="F54" i="1"/>
  <c r="F129" i="1"/>
  <c r="D27" i="1"/>
  <c r="E66" i="1"/>
  <c r="E83" i="1"/>
  <c r="M39" i="1"/>
  <c r="F116" i="1"/>
  <c r="C105" i="1"/>
  <c r="B106" i="1"/>
  <c r="B48" i="1"/>
  <c r="C83" i="1"/>
  <c r="B104" i="1"/>
  <c r="B64" i="1"/>
  <c r="C89" i="1"/>
  <c r="F118" i="1"/>
  <c r="D42" i="1"/>
  <c r="F50" i="1"/>
  <c r="F125" i="1"/>
  <c r="D106" i="1"/>
  <c r="E62" i="1"/>
  <c r="E79" i="1"/>
  <c r="K31" i="1"/>
  <c r="D72" i="1"/>
  <c r="C94" i="1"/>
  <c r="F56" i="1"/>
  <c r="F107" i="1"/>
  <c r="F131" i="1"/>
  <c r="D63" i="1"/>
  <c r="D29" i="1"/>
  <c r="D80" i="1"/>
  <c r="E68" i="1"/>
  <c r="E34" i="1"/>
  <c r="E85" i="1"/>
  <c r="I23" i="1"/>
  <c r="H39" i="1"/>
  <c r="D89" i="1"/>
  <c r="D113" i="1"/>
  <c r="E43" i="1"/>
  <c r="E94" i="1"/>
  <c r="E118" i="1"/>
  <c r="N42" i="1"/>
  <c r="E45" i="1"/>
  <c r="L29" i="1"/>
  <c r="E33" i="1"/>
  <c r="G23" i="1"/>
  <c r="H29" i="1"/>
  <c r="E104" i="1"/>
  <c r="N26" i="1"/>
  <c r="B127" i="1"/>
  <c r="B31" i="1"/>
  <c r="F53" i="1"/>
  <c r="B85" i="1"/>
  <c r="B36" i="1"/>
  <c r="F61" i="1"/>
  <c r="D32" i="1"/>
  <c r="C96" i="1"/>
  <c r="F26" i="1"/>
  <c r="D65" i="1"/>
  <c r="D82" i="1"/>
  <c r="E36" i="1"/>
  <c r="M23" i="1"/>
  <c r="D91" i="1"/>
  <c r="D105" i="1"/>
  <c r="C126" i="1"/>
  <c r="F44" i="1"/>
  <c r="F95" i="1"/>
  <c r="F119" i="1"/>
  <c r="D49" i="1"/>
  <c r="D100" i="1"/>
  <c r="D124" i="1"/>
  <c r="E54" i="1"/>
  <c r="E105" i="1"/>
  <c r="E121" i="1"/>
  <c r="D101" i="1"/>
  <c r="E55" i="1"/>
  <c r="E130" i="1"/>
  <c r="D115" i="1"/>
  <c r="E57" i="1"/>
  <c r="I31" i="1"/>
  <c r="J61" i="1"/>
  <c r="C82" i="1"/>
  <c r="B32" i="1"/>
  <c r="B93" i="1"/>
  <c r="C113" i="1"/>
  <c r="C31" i="1"/>
  <c r="D73" i="1"/>
  <c r="D114" i="1"/>
  <c r="E95" i="1"/>
  <c r="L42" i="1"/>
  <c r="D123" i="1"/>
  <c r="C27" i="1"/>
  <c r="F66" i="1"/>
  <c r="F32" i="1"/>
  <c r="F83" i="1"/>
  <c r="D71" i="1"/>
  <c r="D37" i="1"/>
  <c r="D88" i="1"/>
  <c r="D112" i="1"/>
  <c r="E42" i="1"/>
  <c r="E93" i="1"/>
  <c r="E117" i="1"/>
  <c r="H42" i="1"/>
  <c r="D97" i="1"/>
  <c r="D121" i="1"/>
  <c r="E51" i="1"/>
  <c r="E102" i="1"/>
  <c r="E126" i="1"/>
  <c r="M61" i="1"/>
  <c r="E96" i="1"/>
  <c r="E49" i="1"/>
  <c r="E53" i="1"/>
  <c r="B43" i="1"/>
  <c r="B46" i="1"/>
  <c r="C53" i="1"/>
  <c r="D47" i="1"/>
  <c r="E127" i="1"/>
  <c r="F74" i="1"/>
  <c r="D75" i="1"/>
  <c r="D116" i="1"/>
  <c r="J23" i="1"/>
  <c r="E114" i="1"/>
  <c r="J26" i="1"/>
  <c r="D117" i="1"/>
  <c r="N31" i="1"/>
  <c r="K29" i="1"/>
  <c r="D107" i="1"/>
  <c r="C88" i="1"/>
  <c r="F105" i="1"/>
  <c r="D61" i="1"/>
  <c r="D134" i="1"/>
  <c r="E32" i="1"/>
  <c r="N23" i="1"/>
  <c r="D87" i="1"/>
  <c r="C69" i="1"/>
  <c r="C122" i="1"/>
  <c r="B133" i="1"/>
  <c r="C66" i="1"/>
  <c r="F37" i="1"/>
  <c r="B99" i="1"/>
  <c r="C72" i="1"/>
  <c r="F43" i="1"/>
  <c r="C71" i="1"/>
  <c r="C80" i="1"/>
  <c r="F101" i="1"/>
  <c r="D55" i="1"/>
  <c r="D130" i="1"/>
  <c r="E28" i="1"/>
  <c r="N65" i="1"/>
  <c r="D83" i="1"/>
  <c r="C61" i="1"/>
  <c r="C118" i="1"/>
  <c r="F40" i="1"/>
  <c r="F91" i="1"/>
  <c r="F115" i="1"/>
  <c r="D45" i="1"/>
  <c r="D96" i="1"/>
  <c r="D120" i="1"/>
  <c r="E50" i="1"/>
  <c r="E101" i="1"/>
  <c r="E125" i="1"/>
  <c r="G61" i="1"/>
  <c r="I26" i="1"/>
  <c r="D129" i="1"/>
  <c r="E61" i="1"/>
  <c r="E27" i="1"/>
  <c r="E134" i="1"/>
  <c r="L65" i="1"/>
  <c r="M31" i="1"/>
  <c r="E112" i="1"/>
  <c r="E67" i="1"/>
  <c r="E84" i="1"/>
  <c r="J39" i="1"/>
  <c r="J29" i="1"/>
  <c r="H23" i="1"/>
  <c r="B132" i="1"/>
  <c r="B67" i="1"/>
  <c r="C106" i="1"/>
  <c r="F128" i="1"/>
  <c r="B60" i="1"/>
  <c r="C102" i="1"/>
  <c r="F134" i="1"/>
  <c r="F112" i="1"/>
  <c r="F60" i="1"/>
  <c r="F133" i="1"/>
  <c r="D31" i="1"/>
  <c r="E70" i="1"/>
  <c r="E87" i="1"/>
  <c r="L39" i="1"/>
  <c r="F124" i="1"/>
  <c r="C99" i="1"/>
  <c r="F62" i="1"/>
  <c r="F28" i="1"/>
  <c r="F79" i="1"/>
  <c r="D67" i="1"/>
  <c r="D33" i="1"/>
  <c r="D84" i="1"/>
  <c r="E72" i="1"/>
  <c r="E38" i="1"/>
  <c r="E89" i="1"/>
  <c r="H61" i="1"/>
  <c r="D125" i="1"/>
  <c r="E106" i="1"/>
  <c r="M65" i="1"/>
  <c r="I65" i="1"/>
  <c r="E132" i="1"/>
  <c r="M26" i="1"/>
  <c r="E129" i="1"/>
  <c r="N29" i="1"/>
  <c r="E65" i="1"/>
  <c r="E82" i="1"/>
  <c r="K39" i="1"/>
  <c r="E75" i="1"/>
  <c r="J42" i="1"/>
  <c r="E120" i="1"/>
  <c r="N8" i="1"/>
  <c r="I29" i="1"/>
  <c r="E124" i="1"/>
  <c r="G26" i="1"/>
  <c r="G39" i="1"/>
  <c r="B124" i="1"/>
  <c r="F104" i="1"/>
  <c r="B72" i="1"/>
  <c r="F27" i="1"/>
  <c r="C65" i="1"/>
  <c r="F93" i="1"/>
  <c r="D98" i="1"/>
  <c r="E103" i="1"/>
  <c r="H26" i="1"/>
  <c r="C43" i="1"/>
  <c r="F52" i="1"/>
  <c r="F87" i="1"/>
  <c r="D57" i="1"/>
  <c r="D92" i="1"/>
  <c r="E64" i="1"/>
  <c r="E97" i="1"/>
  <c r="I39" i="1"/>
  <c r="E39" i="1"/>
  <c r="K42" i="1"/>
  <c r="K26" i="1"/>
  <c r="E88" i="1"/>
  <c r="G42" i="1"/>
  <c r="E47" i="1"/>
  <c r="N61" i="1"/>
  <c r="E41" i="1"/>
  <c r="G65" i="1"/>
  <c r="B119" i="1"/>
  <c r="K61" i="1"/>
  <c r="F127" i="1"/>
  <c r="E81" i="1"/>
  <c r="D93" i="1"/>
  <c r="E37" i="1"/>
  <c r="D133" i="1"/>
  <c r="L23" i="1"/>
  <c r="E92" i="1"/>
  <c r="N7" i="1"/>
  <c r="E100" i="1"/>
  <c r="E80" i="1"/>
  <c r="C48" i="1"/>
  <c r="C54" i="1"/>
  <c r="C120" i="1"/>
  <c r="E52" i="1"/>
  <c r="D131" i="1"/>
  <c r="F36" i="1"/>
  <c r="D41" i="1"/>
  <c r="E46" i="1"/>
  <c r="D85" i="1"/>
  <c r="E29" i="1"/>
  <c r="G31" i="1"/>
  <c r="E98" i="1"/>
  <c r="G29" i="1"/>
  <c r="N6" i="1"/>
  <c r="E31" i="1"/>
  <c r="E128" i="1"/>
  <c r="H31" i="1"/>
  <c r="N39" i="1"/>
  <c r="J31" i="1"/>
  <c r="B82" i="1"/>
  <c r="D66" i="1"/>
  <c r="F117" i="1"/>
  <c r="C86" i="1"/>
  <c r="D132" i="1"/>
  <c r="E90" i="1"/>
  <c r="H65" i="1"/>
  <c r="E63" i="1"/>
  <c r="O6" i="1"/>
  <c r="F8" i="1"/>
  <c r="F7" i="1"/>
  <c r="N9" i="1" l="1"/>
  <c r="N10" i="1" s="1"/>
  <c r="L24" i="1"/>
  <c r="L25" i="1"/>
  <c r="H24" i="1"/>
  <c r="H25" i="1"/>
  <c r="N25" i="1"/>
  <c r="N24" i="1"/>
  <c r="O24" i="1"/>
  <c r="D108" i="1"/>
  <c r="J24" i="1"/>
  <c r="J25" i="1"/>
  <c r="M25" i="1"/>
  <c r="M24" i="1"/>
  <c r="G25" i="1"/>
  <c r="G24" i="1"/>
  <c r="I25" i="1"/>
  <c r="I24" i="1"/>
  <c r="F108" i="1"/>
  <c r="E25" i="1"/>
  <c r="E24" i="1"/>
  <c r="D25" i="1"/>
  <c r="D24" i="1"/>
  <c r="O25" i="1"/>
  <c r="K25" i="1"/>
  <c r="K24" i="1"/>
  <c r="F13" i="1"/>
  <c r="C24" i="1"/>
  <c r="C25" i="1"/>
  <c r="E108" i="1"/>
  <c r="C108" i="1"/>
  <c r="F25" i="1"/>
  <c r="F24" i="1"/>
  <c r="G5" i="1"/>
  <c r="N11" i="1"/>
  <c r="O11" i="1"/>
  <c r="M11" i="1"/>
  <c r="M12" i="1" l="1"/>
  <c r="N12" i="1"/>
  <c r="H5" i="1"/>
  <c r="F9" i="1" l="1"/>
  <c r="I5" i="1"/>
  <c r="H128" i="1"/>
  <c r="G117" i="1"/>
  <c r="K119" i="1"/>
  <c r="K116" i="1"/>
  <c r="N125" i="1"/>
  <c r="G92" i="1"/>
  <c r="K121" i="1"/>
  <c r="M116" i="1"/>
  <c r="N116" i="1"/>
  <c r="N131" i="1"/>
  <c r="I112" i="1"/>
  <c r="K98" i="1"/>
  <c r="J115" i="1"/>
  <c r="H125" i="1"/>
  <c r="I127" i="1"/>
  <c r="M105" i="1"/>
  <c r="M41" i="1"/>
  <c r="H85" i="1"/>
  <c r="M74" i="1"/>
  <c r="L41" i="1"/>
  <c r="L92" i="1"/>
  <c r="N88" i="1"/>
  <c r="G133" i="1"/>
  <c r="G56" i="1"/>
  <c r="I70" i="1"/>
  <c r="I104" i="1"/>
  <c r="L38" i="1"/>
  <c r="G88" i="1"/>
  <c r="M93" i="1"/>
  <c r="I132" i="1"/>
  <c r="I87" i="1"/>
  <c r="L119" i="1"/>
  <c r="K133" i="1"/>
  <c r="N83" i="1"/>
  <c r="J96" i="1"/>
  <c r="M131" i="1"/>
  <c r="M128" i="1"/>
  <c r="H79" i="1"/>
  <c r="I126" i="1"/>
  <c r="I125" i="1"/>
  <c r="N121" i="1"/>
  <c r="G70" i="1"/>
  <c r="N132" i="1"/>
  <c r="K124" i="1"/>
  <c r="J81" i="1"/>
  <c r="J93" i="1"/>
  <c r="K95" i="1"/>
  <c r="M106" i="1"/>
  <c r="M88" i="1"/>
  <c r="N97" i="1"/>
  <c r="H107" i="1"/>
  <c r="J90" i="1"/>
  <c r="L127" i="1"/>
  <c r="K92" i="1"/>
  <c r="L94" i="1"/>
  <c r="N92" i="1"/>
  <c r="N96" i="1"/>
  <c r="G93" i="1"/>
  <c r="I94" i="1"/>
  <c r="K84" i="1"/>
  <c r="J66" i="1"/>
  <c r="N89" i="1"/>
  <c r="N63" i="1"/>
  <c r="H120" i="1"/>
  <c r="M119" i="1"/>
  <c r="K122" i="1"/>
  <c r="L117" i="1"/>
  <c r="J113" i="1"/>
  <c r="N93" i="1"/>
  <c r="G120" i="1"/>
  <c r="N119" i="1"/>
  <c r="H124" i="1"/>
  <c r="G134" i="1"/>
  <c r="H132" i="1"/>
  <c r="I88" i="1"/>
  <c r="M121" i="1"/>
  <c r="N112" i="1"/>
  <c r="H113" i="1"/>
  <c r="G106" i="1"/>
  <c r="M102" i="1"/>
  <c r="I56" i="1"/>
  <c r="L69" i="1"/>
  <c r="J56" i="1"/>
  <c r="J106" i="1"/>
  <c r="K104" i="1"/>
  <c r="K112" i="1"/>
  <c r="I86" i="1"/>
  <c r="N87" i="1"/>
  <c r="K70" i="1"/>
  <c r="H72" i="1"/>
  <c r="N70" i="1"/>
  <c r="K105" i="1"/>
  <c r="O7" i="1"/>
  <c r="L114" i="1"/>
  <c r="M124" i="1"/>
  <c r="N126" i="1"/>
  <c r="I119" i="1"/>
  <c r="H89" i="1"/>
  <c r="I83" i="1"/>
  <c r="H116" i="1"/>
  <c r="K126" i="1"/>
  <c r="I121" i="1"/>
  <c r="J127" i="1"/>
  <c r="H129" i="1"/>
  <c r="M100" i="1"/>
  <c r="G130" i="1"/>
  <c r="J124" i="1"/>
  <c r="L122" i="1"/>
  <c r="G105" i="1"/>
  <c r="H101" i="1"/>
  <c r="J85" i="1"/>
  <c r="H56" i="1"/>
  <c r="I106" i="1"/>
  <c r="G69" i="1"/>
  <c r="H71" i="1"/>
  <c r="I133" i="1"/>
  <c r="H103" i="1"/>
  <c r="I90" i="1"/>
  <c r="K86" i="1"/>
  <c r="N75" i="1"/>
  <c r="K89" i="1"/>
  <c r="M38" i="1"/>
  <c r="H90" i="1"/>
  <c r="G80" i="1"/>
  <c r="G84" i="1"/>
  <c r="H67" i="1"/>
  <c r="H66" i="1"/>
  <c r="K118" i="1"/>
  <c r="L120" i="1"/>
  <c r="H134" i="1"/>
  <c r="G114" i="1"/>
  <c r="L118" i="1"/>
  <c r="I75" i="1"/>
  <c r="I115" i="1"/>
  <c r="I114" i="1"/>
  <c r="J86" i="1"/>
  <c r="G129" i="1"/>
  <c r="N113" i="1"/>
  <c r="J100" i="1"/>
  <c r="I128" i="1"/>
  <c r="K114" i="1"/>
  <c r="H112" i="1"/>
  <c r="J92" i="1"/>
  <c r="N102" i="1"/>
  <c r="G91" i="1"/>
  <c r="J41" i="1"/>
  <c r="H60" i="1"/>
  <c r="K93" i="1"/>
  <c r="L102" i="1"/>
  <c r="G116" i="1"/>
  <c r="L97" i="1"/>
  <c r="K72" i="1"/>
  <c r="H105" i="1"/>
  <c r="M57" i="1"/>
  <c r="H41" i="1"/>
  <c r="L84" i="1"/>
  <c r="K125" i="1"/>
  <c r="M82" i="1"/>
  <c r="N120" i="1"/>
  <c r="G85" i="1"/>
  <c r="K123" i="1"/>
  <c r="L89" i="1"/>
  <c r="J82" i="1"/>
  <c r="J125" i="1"/>
  <c r="I81" i="1"/>
  <c r="J114" i="1"/>
  <c r="K79" i="1"/>
  <c r="G95" i="1"/>
  <c r="G122" i="1"/>
  <c r="M81" i="1"/>
  <c r="H133" i="1"/>
  <c r="N115" i="1"/>
  <c r="K102" i="1"/>
  <c r="M84" i="1"/>
  <c r="N105" i="1"/>
  <c r="I69" i="1"/>
  <c r="H106" i="1"/>
  <c r="I102" i="1"/>
  <c r="K96" i="1"/>
  <c r="N86" i="1"/>
  <c r="L103" i="1"/>
  <c r="N98" i="1"/>
  <c r="K113" i="1"/>
  <c r="H121" i="1"/>
  <c r="G132" i="1"/>
  <c r="G131" i="1"/>
  <c r="H123" i="1"/>
  <c r="M92" i="1"/>
  <c r="H118" i="1"/>
  <c r="M75" i="1"/>
  <c r="J57" i="1"/>
  <c r="H91" i="1"/>
  <c r="M56" i="1"/>
  <c r="G101" i="1"/>
  <c r="J104" i="1"/>
  <c r="J91" i="1"/>
  <c r="I131" i="1"/>
  <c r="M120" i="1"/>
  <c r="J132" i="1"/>
  <c r="G125" i="1"/>
  <c r="J117" i="1"/>
  <c r="L134" i="1"/>
  <c r="H122" i="1"/>
  <c r="G113" i="1"/>
  <c r="N107" i="1"/>
  <c r="I74" i="1"/>
  <c r="J97" i="1"/>
  <c r="L126" i="1"/>
  <c r="G72" i="1"/>
  <c r="K41" i="1"/>
  <c r="M70" i="1"/>
  <c r="I105" i="1"/>
  <c r="J87" i="1"/>
  <c r="L95" i="1"/>
  <c r="N66" i="1"/>
  <c r="K67" i="1"/>
  <c r="I66" i="1"/>
  <c r="I50" i="1"/>
  <c r="H53" i="1"/>
  <c r="K49" i="1"/>
  <c r="J40" i="1"/>
  <c r="H28" i="1"/>
  <c r="K62" i="1"/>
  <c r="I45" i="1"/>
  <c r="J53" i="1"/>
  <c r="J51" i="1"/>
  <c r="L46" i="1"/>
  <c r="L50" i="1"/>
  <c r="M62" i="1"/>
  <c r="N46" i="1"/>
  <c r="J48" i="1"/>
  <c r="K35" i="1"/>
  <c r="H44" i="1"/>
  <c r="L90" i="1"/>
  <c r="I64" i="1"/>
  <c r="I63" i="1"/>
  <c r="K52" i="1"/>
  <c r="K43" i="1"/>
  <c r="N30" i="1"/>
  <c r="K120" i="1"/>
  <c r="K130" i="1"/>
  <c r="L132" i="1"/>
  <c r="L116" i="1"/>
  <c r="I117" i="1"/>
  <c r="K99" i="1"/>
  <c r="H131" i="1"/>
  <c r="H83" i="1"/>
  <c r="G112" i="1"/>
  <c r="M129" i="1"/>
  <c r="K82" i="1"/>
  <c r="N129" i="1"/>
  <c r="G102" i="1"/>
  <c r="I124" i="1"/>
  <c r="M112" i="1"/>
  <c r="L128" i="1"/>
  <c r="J99" i="1"/>
  <c r="L101" i="1"/>
  <c r="N91" i="1"/>
  <c r="N100" i="1"/>
  <c r="N74" i="1"/>
  <c r="H102" i="1"/>
  <c r="J95" i="1"/>
  <c r="N114" i="1"/>
  <c r="K100" i="1"/>
  <c r="M95" i="1"/>
  <c r="G41" i="1"/>
  <c r="M69" i="1"/>
  <c r="H84" i="1"/>
  <c r="I103" i="1"/>
  <c r="M126" i="1"/>
  <c r="N128" i="1"/>
  <c r="G118" i="1"/>
  <c r="I134" i="1"/>
  <c r="L83" i="1"/>
  <c r="L71" i="1"/>
  <c r="I130" i="1"/>
  <c r="K134" i="1"/>
  <c r="L123" i="1"/>
  <c r="J134" i="1"/>
  <c r="G124" i="1"/>
  <c r="K88" i="1"/>
  <c r="M79" i="1"/>
  <c r="M134" i="1"/>
  <c r="N122" i="1"/>
  <c r="K106" i="1"/>
  <c r="I41" i="1"/>
  <c r="H57" i="1"/>
  <c r="J73" i="1"/>
  <c r="G57" i="1"/>
  <c r="L106" i="1"/>
  <c r="M104" i="1"/>
  <c r="K83" i="1"/>
  <c r="M89" i="1"/>
  <c r="H74" i="1"/>
  <c r="H104" i="1"/>
  <c r="H69" i="1"/>
  <c r="N73" i="1"/>
  <c r="M97" i="1"/>
  <c r="N85" i="1"/>
  <c r="J60" i="1"/>
  <c r="K94" i="1"/>
  <c r="K68" i="1"/>
  <c r="O8" i="1"/>
  <c r="L112" i="1"/>
  <c r="H119" i="1"/>
  <c r="L79" i="1"/>
  <c r="M85" i="1"/>
  <c r="H96" i="1"/>
  <c r="K87" i="1"/>
  <c r="G119" i="1"/>
  <c r="H82" i="1"/>
  <c r="K132" i="1"/>
  <c r="N134" i="1"/>
  <c r="J118" i="1"/>
  <c r="N103" i="1"/>
  <c r="M114" i="1"/>
  <c r="L129" i="1"/>
  <c r="G128" i="1"/>
  <c r="H93" i="1"/>
  <c r="I97" i="1"/>
  <c r="K91" i="1"/>
  <c r="L56" i="1"/>
  <c r="J105" i="1"/>
  <c r="K69" i="1"/>
  <c r="G96" i="1"/>
  <c r="H126" i="1"/>
  <c r="I92" i="1"/>
  <c r="J101" i="1"/>
  <c r="L105" i="1"/>
  <c r="L70" i="1"/>
  <c r="L88" i="1"/>
  <c r="G107" i="1"/>
  <c r="M130" i="1"/>
  <c r="I118" i="1"/>
  <c r="G87" i="1"/>
  <c r="J119" i="1"/>
  <c r="H117" i="1"/>
  <c r="M99" i="1"/>
  <c r="N104" i="1"/>
  <c r="L104" i="1"/>
  <c r="I79" i="1"/>
  <c r="N133" i="1"/>
  <c r="K129" i="1"/>
  <c r="H100" i="1"/>
  <c r="K115" i="1"/>
  <c r="L133" i="1"/>
  <c r="I82" i="1"/>
  <c r="N79" i="1"/>
  <c r="L99" i="1"/>
  <c r="N95" i="1"/>
  <c r="M72" i="1"/>
  <c r="H38" i="1"/>
  <c r="I101" i="1"/>
  <c r="J102" i="1"/>
  <c r="L82" i="1"/>
  <c r="H97" i="1"/>
  <c r="M103" i="1"/>
  <c r="M60" i="1"/>
  <c r="N38" i="1"/>
  <c r="N56" i="1"/>
  <c r="J94" i="1"/>
  <c r="K103" i="1"/>
  <c r="K38" i="1"/>
  <c r="J67" i="1"/>
  <c r="H73" i="1"/>
  <c r="H70" i="1"/>
  <c r="I122" i="1"/>
  <c r="G127" i="1"/>
  <c r="J133" i="1"/>
  <c r="M87" i="1"/>
  <c r="L130" i="1"/>
  <c r="J89" i="1"/>
  <c r="G81" i="1"/>
  <c r="K81" i="1"/>
  <c r="L81" i="1"/>
  <c r="H130" i="1"/>
  <c r="G83" i="1"/>
  <c r="L86" i="1"/>
  <c r="K56" i="1"/>
  <c r="J130" i="1"/>
  <c r="I113" i="1"/>
  <c r="H81" i="1"/>
  <c r="I99" i="1"/>
  <c r="J84" i="1"/>
  <c r="L85" i="1"/>
  <c r="I57" i="1"/>
  <c r="M101" i="1"/>
  <c r="G104" i="1"/>
  <c r="I84" i="1"/>
  <c r="L131" i="1"/>
  <c r="J103" i="1"/>
  <c r="K90" i="1"/>
  <c r="M86" i="1"/>
  <c r="M98" i="1"/>
  <c r="K60" i="1"/>
  <c r="H87" i="1"/>
  <c r="J121" i="1"/>
  <c r="I123" i="1"/>
  <c r="H127" i="1"/>
  <c r="M127" i="1"/>
  <c r="G97" i="1"/>
  <c r="G100" i="1"/>
  <c r="M122" i="1"/>
  <c r="H115" i="1"/>
  <c r="N124" i="1"/>
  <c r="K117" i="1"/>
  <c r="K128" i="1"/>
  <c r="L100" i="1"/>
  <c r="L121" i="1"/>
  <c r="K131" i="1"/>
  <c r="M125" i="1"/>
  <c r="N94" i="1"/>
  <c r="N71" i="1"/>
  <c r="I91" i="1"/>
  <c r="J69" i="1"/>
  <c r="K57" i="1"/>
  <c r="M90" i="1"/>
  <c r="I60" i="1"/>
  <c r="J116" i="1"/>
  <c r="I73" i="1"/>
  <c r="G90" i="1"/>
  <c r="J88" i="1"/>
  <c r="J129" i="1"/>
  <c r="J83" i="1"/>
  <c r="G99" i="1"/>
  <c r="M132" i="1"/>
  <c r="G115" i="1"/>
  <c r="M133" i="1"/>
  <c r="N117" i="1"/>
  <c r="M118" i="1"/>
  <c r="G89" i="1"/>
  <c r="N41" i="1"/>
  <c r="N101" i="1"/>
  <c r="N118" i="1"/>
  <c r="H94" i="1"/>
  <c r="J75" i="1"/>
  <c r="I38" i="1"/>
  <c r="J122" i="1"/>
  <c r="N130" i="1"/>
  <c r="N99" i="1"/>
  <c r="N127" i="1"/>
  <c r="K127" i="1"/>
  <c r="I98" i="1"/>
  <c r="G82" i="1"/>
  <c r="I107" i="1"/>
  <c r="J74" i="1"/>
  <c r="M71" i="1"/>
  <c r="L107" i="1"/>
  <c r="K107" i="1"/>
  <c r="G86" i="1"/>
  <c r="G71" i="1"/>
  <c r="H88" i="1"/>
  <c r="N84" i="1"/>
  <c r="M73" i="1"/>
  <c r="I71" i="1"/>
  <c r="G74" i="1"/>
  <c r="G38" i="1"/>
  <c r="H63" i="1"/>
  <c r="M55" i="1"/>
  <c r="N53" i="1"/>
  <c r="N47" i="1"/>
  <c r="I37" i="1"/>
  <c r="N68" i="1"/>
  <c r="N64" i="1"/>
  <c r="L47" i="1"/>
  <c r="G50" i="1"/>
  <c r="H64" i="1"/>
  <c r="M49" i="1"/>
  <c r="G27" i="1"/>
  <c r="K51" i="1"/>
  <c r="M52" i="1"/>
  <c r="M40" i="1"/>
  <c r="L35" i="1"/>
  <c r="H30" i="1"/>
  <c r="I67" i="1"/>
  <c r="H80" i="1"/>
  <c r="J62" i="1"/>
  <c r="N55" i="1"/>
  <c r="L45" i="1"/>
  <c r="G64" i="1"/>
  <c r="M28" i="1"/>
  <c r="I43" i="1"/>
  <c r="N44" i="1"/>
  <c r="I28" i="1"/>
  <c r="G44" i="1"/>
  <c r="M36" i="1"/>
  <c r="G48" i="1"/>
  <c r="L33" i="1"/>
  <c r="J27" i="1"/>
  <c r="N52" i="1"/>
  <c r="J35" i="1"/>
  <c r="J68" i="1"/>
  <c r="H86" i="1"/>
  <c r="M123" i="1"/>
  <c r="K48" i="1"/>
  <c r="K64" i="1"/>
  <c r="G68" i="1"/>
  <c r="L75" i="1"/>
  <c r="N27" i="1"/>
  <c r="N35" i="1"/>
  <c r="M115" i="1"/>
  <c r="M113" i="1"/>
  <c r="L124" i="1"/>
  <c r="K85" i="1"/>
  <c r="G126" i="1"/>
  <c r="I120" i="1"/>
  <c r="J131" i="1"/>
  <c r="L93" i="1"/>
  <c r="I72" i="1"/>
  <c r="H92" i="1"/>
  <c r="H114" i="1"/>
  <c r="M94" i="1"/>
  <c r="J71" i="1"/>
  <c r="I89" i="1"/>
  <c r="N123" i="1"/>
  <c r="I116" i="1"/>
  <c r="I96" i="1"/>
  <c r="I129" i="1"/>
  <c r="M83" i="1"/>
  <c r="L113" i="1"/>
  <c r="I85" i="1"/>
  <c r="M117" i="1"/>
  <c r="I93" i="1"/>
  <c r="K74" i="1"/>
  <c r="K73" i="1"/>
  <c r="J128" i="1"/>
  <c r="K97" i="1"/>
  <c r="L72" i="1"/>
  <c r="N69" i="1"/>
  <c r="K101" i="1"/>
  <c r="H75" i="1"/>
  <c r="G67" i="1"/>
  <c r="K80" i="1"/>
  <c r="K63" i="1"/>
  <c r="G52" i="1"/>
  <c r="G30" i="1"/>
  <c r="H43" i="1"/>
  <c r="G49" i="1"/>
  <c r="M80" i="1"/>
  <c r="J54" i="1"/>
  <c r="K75" i="1"/>
  <c r="G66" i="1"/>
  <c r="L52" i="1"/>
  <c r="K33" i="1"/>
  <c r="M64" i="1"/>
  <c r="G51" i="1"/>
  <c r="L36" i="1"/>
  <c r="K45" i="1"/>
  <c r="K53" i="1"/>
  <c r="H40" i="1"/>
  <c r="N34" i="1"/>
  <c r="N62" i="1"/>
  <c r="L49" i="1"/>
  <c r="N37" i="1"/>
  <c r="N80" i="1"/>
  <c r="J43" i="1"/>
  <c r="N54" i="1"/>
  <c r="H51" i="1"/>
  <c r="H34" i="1"/>
  <c r="I54" i="1"/>
  <c r="K40" i="1"/>
  <c r="H54" i="1"/>
  <c r="I47" i="1"/>
  <c r="M32" i="1"/>
  <c r="M50" i="1"/>
  <c r="M54" i="1"/>
  <c r="H95" i="1"/>
  <c r="L62" i="1"/>
  <c r="L48" i="1"/>
  <c r="M43" i="1"/>
  <c r="N43" i="1"/>
  <c r="G32" i="1"/>
  <c r="J36" i="1"/>
  <c r="M51" i="1"/>
  <c r="L44" i="1"/>
  <c r="L37" i="1"/>
  <c r="N81" i="1"/>
  <c r="L96" i="1"/>
  <c r="L115" i="1"/>
  <c r="L125" i="1"/>
  <c r="G98" i="1"/>
  <c r="J123" i="1"/>
  <c r="N82" i="1"/>
  <c r="N90" i="1"/>
  <c r="L74" i="1"/>
  <c r="J107" i="1"/>
  <c r="G94" i="1"/>
  <c r="G75" i="1"/>
  <c r="L60" i="1"/>
  <c r="G121" i="1"/>
  <c r="J126" i="1"/>
  <c r="J120" i="1"/>
  <c r="G79" i="1"/>
  <c r="J112" i="1"/>
  <c r="J79" i="1"/>
  <c r="G60" i="1"/>
  <c r="G123" i="1"/>
  <c r="H99" i="1"/>
  <c r="L57" i="1"/>
  <c r="L91" i="1"/>
  <c r="H98" i="1"/>
  <c r="I100" i="1"/>
  <c r="M107" i="1"/>
  <c r="J70" i="1"/>
  <c r="N106" i="1"/>
  <c r="G103" i="1"/>
  <c r="I95" i="1"/>
  <c r="L80" i="1"/>
  <c r="J98" i="1"/>
  <c r="K66" i="1"/>
  <c r="I62" i="1"/>
  <c r="I48" i="1"/>
  <c r="L43" i="1"/>
  <c r="M53" i="1"/>
  <c r="I32" i="1"/>
  <c r="L73" i="1"/>
  <c r="L64" i="1"/>
  <c r="I52" i="1"/>
  <c r="K46" i="1"/>
  <c r="M63" i="1"/>
  <c r="J52" i="1"/>
  <c r="J34" i="1"/>
  <c r="J64" i="1"/>
  <c r="I55" i="1"/>
  <c r="J45" i="1"/>
  <c r="H35" i="1"/>
  <c r="G35" i="1"/>
  <c r="J72" i="1"/>
  <c r="N72" i="1"/>
  <c r="L63" i="1"/>
  <c r="G47" i="1"/>
  <c r="G54" i="1"/>
  <c r="H45" i="1"/>
  <c r="H36" i="1"/>
  <c r="L67" i="1"/>
  <c r="G46" i="1"/>
  <c r="H52" i="1"/>
  <c r="L55" i="1"/>
  <c r="K37" i="1"/>
  <c r="N32" i="1"/>
  <c r="G33" i="1"/>
  <c r="I51" i="1"/>
  <c r="H46" i="1"/>
  <c r="M68" i="1"/>
  <c r="J49" i="1"/>
  <c r="N45" i="1"/>
  <c r="M34" i="1"/>
  <c r="H27" i="1"/>
  <c r="L87" i="1"/>
  <c r="M67" i="1"/>
  <c r="H68" i="1"/>
  <c r="G45" i="1"/>
  <c r="N50" i="1"/>
  <c r="I53" i="1"/>
  <c r="I40" i="1"/>
  <c r="J28" i="1"/>
  <c r="G63" i="1"/>
  <c r="M48" i="1"/>
  <c r="H49" i="1"/>
  <c r="H55" i="1"/>
  <c r="N40" i="1"/>
  <c r="G34" i="1"/>
  <c r="L28" i="1"/>
  <c r="K36" i="1"/>
  <c r="I33" i="1"/>
  <c r="L32" i="1"/>
  <c r="G40" i="1"/>
  <c r="M30" i="1"/>
  <c r="K30" i="1"/>
  <c r="M27" i="1"/>
  <c r="H47" i="1"/>
  <c r="H32" i="1"/>
  <c r="M66" i="1"/>
  <c r="M45" i="1"/>
  <c r="N49" i="1"/>
  <c r="M33" i="1"/>
  <c r="N28" i="1"/>
  <c r="N48" i="1"/>
  <c r="G73" i="1"/>
  <c r="G53" i="1"/>
  <c r="I35" i="1"/>
  <c r="L40" i="1"/>
  <c r="J80" i="1"/>
  <c r="I68" i="1"/>
  <c r="K55" i="1"/>
  <c r="K47" i="1"/>
  <c r="L34" i="1"/>
  <c r="G62" i="1"/>
  <c r="L53" i="1"/>
  <c r="G55" i="1"/>
  <c r="K32" i="1"/>
  <c r="I30" i="1"/>
  <c r="I34" i="1"/>
  <c r="H48" i="1"/>
  <c r="J44" i="1"/>
  <c r="K27" i="1"/>
  <c r="M35" i="1"/>
  <c r="M91" i="1"/>
  <c r="I80" i="1"/>
  <c r="M44" i="1"/>
  <c r="N51" i="1"/>
  <c r="N67" i="1"/>
  <c r="G43" i="1"/>
  <c r="I44" i="1"/>
  <c r="J50" i="1"/>
  <c r="H50" i="1"/>
  <c r="M37" i="1"/>
  <c r="G28" i="1"/>
  <c r="L68" i="1"/>
  <c r="K54" i="1"/>
  <c r="M46" i="1"/>
  <c r="M96" i="1"/>
  <c r="K50" i="1"/>
  <c r="K34" i="1"/>
  <c r="L51" i="1"/>
  <c r="J63" i="1"/>
  <c r="J33" i="1"/>
  <c r="M47" i="1"/>
  <c r="H33" i="1"/>
  <c r="J38" i="1"/>
  <c r="L98" i="1"/>
  <c r="I46" i="1"/>
  <c r="L54" i="1"/>
  <c r="H62" i="1"/>
  <c r="K44" i="1"/>
  <c r="G36" i="1"/>
  <c r="N33" i="1"/>
  <c r="I27" i="1"/>
  <c r="L27" i="1"/>
  <c r="N36" i="1"/>
  <c r="J30" i="1"/>
  <c r="K71" i="1"/>
  <c r="J47" i="1"/>
  <c r="K28" i="1"/>
  <c r="I36" i="1"/>
  <c r="J55" i="1"/>
  <c r="L30" i="1"/>
  <c r="N60" i="1"/>
  <c r="J46" i="1"/>
  <c r="L66" i="1"/>
  <c r="I49" i="1"/>
  <c r="J32" i="1"/>
  <c r="H37" i="1"/>
  <c r="G37" i="1"/>
  <c r="J37" i="1"/>
  <c r="F6" i="1"/>
  <c r="H6" i="1"/>
  <c r="G7" i="1"/>
  <c r="G6" i="1"/>
  <c r="G8" i="1"/>
  <c r="F11" i="1"/>
  <c r="I7" i="1"/>
  <c r="I8" i="1"/>
  <c r="I6" i="1"/>
  <c r="H7" i="1"/>
  <c r="H8" i="1"/>
  <c r="G11" i="1"/>
  <c r="H11" i="1"/>
  <c r="I11" i="1"/>
  <c r="L13" i="1" l="1"/>
  <c r="M19" i="1"/>
  <c r="J13" i="1"/>
  <c r="M108" i="1"/>
  <c r="H13" i="1"/>
  <c r="J108" i="1"/>
  <c r="G13" i="1"/>
  <c r="H9" i="1"/>
  <c r="H10" i="1" s="1"/>
  <c r="G9" i="1"/>
  <c r="G10" i="1" s="1"/>
  <c r="G12" i="1" s="1"/>
  <c r="G19" i="1" s="1"/>
  <c r="N17" i="1"/>
  <c r="K108" i="1"/>
  <c r="L108" i="1"/>
  <c r="I108" i="1"/>
  <c r="I13" i="1"/>
  <c r="M17" i="1"/>
  <c r="M13" i="1"/>
  <c r="M14" i="1" s="1"/>
  <c r="M15" i="1" s="1"/>
  <c r="N19" i="1"/>
  <c r="G108" i="1"/>
  <c r="N108" i="1"/>
  <c r="N13" i="1"/>
  <c r="N14" i="1" s="1"/>
  <c r="N15" i="1" s="1"/>
  <c r="O9" i="1"/>
  <c r="O10" i="1" s="1"/>
  <c r="O12" i="1" s="1"/>
  <c r="O19" i="1" s="1"/>
  <c r="H108" i="1"/>
  <c r="K13" i="1"/>
  <c r="F10" i="1"/>
  <c r="O14" i="1"/>
  <c r="O15" i="1" s="1"/>
  <c r="G17" i="1"/>
  <c r="F12" i="1"/>
  <c r="F17" i="1"/>
  <c r="G18" i="1"/>
  <c r="I9" i="1"/>
  <c r="I10" i="1" s="1"/>
  <c r="H12" i="1"/>
  <c r="H19" i="1" s="1"/>
  <c r="H17" i="1"/>
  <c r="J5" i="1"/>
  <c r="J8" i="1"/>
  <c r="J6" i="1"/>
  <c r="J7" i="1"/>
  <c r="J11" i="1"/>
  <c r="G14" i="1" l="1"/>
  <c r="O17" i="1"/>
  <c r="F19" i="1"/>
  <c r="F18" i="1"/>
  <c r="F14" i="1"/>
  <c r="J9" i="1"/>
  <c r="J10" i="1" s="1"/>
  <c r="H18" i="1"/>
  <c r="H14" i="1"/>
  <c r="I12" i="1"/>
  <c r="I19" i="1" s="1"/>
  <c r="I17" i="1"/>
  <c r="K5" i="1"/>
  <c r="K11" i="1"/>
  <c r="K6" i="1"/>
  <c r="K7" i="1"/>
  <c r="K8" i="1"/>
  <c r="G15" i="1" l="1"/>
  <c r="G16" i="1"/>
  <c r="F16" i="1"/>
  <c r="F15" i="1"/>
  <c r="K9" i="1"/>
  <c r="K10" i="1" s="1"/>
  <c r="H16" i="1"/>
  <c r="H15" i="1"/>
  <c r="J12" i="1"/>
  <c r="J19" i="1" s="1"/>
  <c r="J17" i="1"/>
  <c r="I18" i="1"/>
  <c r="I14" i="1"/>
  <c r="L5" i="1"/>
  <c r="L8" i="1"/>
  <c r="L11" i="1"/>
  <c r="L6" i="1"/>
  <c r="L7" i="1"/>
  <c r="L9" i="1" l="1"/>
  <c r="L10" i="1" s="1"/>
  <c r="K12" i="1"/>
  <c r="K19" i="1" s="1"/>
  <c r="K17" i="1"/>
  <c r="I16" i="1"/>
  <c r="I15" i="1"/>
  <c r="J18" i="1"/>
  <c r="J14" i="1"/>
  <c r="L12" i="1" l="1"/>
  <c r="L19" i="1" s="1"/>
  <c r="L17" i="1"/>
  <c r="J16" i="1"/>
  <c r="J15" i="1"/>
  <c r="K18" i="1"/>
  <c r="K14" i="1"/>
  <c r="L14" i="1" l="1"/>
  <c r="L18" i="1"/>
  <c r="K16" i="1"/>
  <c r="K15" i="1"/>
  <c r="L15" i="1" l="1"/>
  <c r="L16" i="1"/>
</calcChain>
</file>

<file path=xl/sharedStrings.xml><?xml version="1.0" encoding="utf-8"?>
<sst xmlns="http://schemas.openxmlformats.org/spreadsheetml/2006/main" count="88" uniqueCount="50">
  <si>
    <t>ICEAIR</t>
  </si>
  <si>
    <t>Revenues</t>
  </si>
  <si>
    <t>Equity</t>
  </si>
  <si>
    <t>Income Statement</t>
  </si>
  <si>
    <t>Divide By</t>
  </si>
  <si>
    <t>GrossProfit</t>
  </si>
  <si>
    <t>EBITDA</t>
  </si>
  <si>
    <t>EBIT</t>
  </si>
  <si>
    <t>NetFinancingCost</t>
  </si>
  <si>
    <t>EBT</t>
  </si>
  <si>
    <t>Earnings</t>
  </si>
  <si>
    <t>NonCurrentAssets</t>
  </si>
  <si>
    <t>CurrentAssets</t>
  </si>
  <si>
    <t>NonCurrentLiabilities</t>
  </si>
  <si>
    <t>CurrentLiabilities</t>
  </si>
  <si>
    <t>TotalLiabilities</t>
  </si>
  <si>
    <t>EquityAndLiabilities</t>
  </si>
  <si>
    <t>TotalAssets</t>
  </si>
  <si>
    <t>Balance Sheet</t>
  </si>
  <si>
    <t>Matching</t>
  </si>
  <si>
    <t>Cash Flow</t>
  </si>
  <si>
    <t>WCOperations</t>
  </si>
  <si>
    <t>COBIT</t>
  </si>
  <si>
    <t>NetCashFromOA</t>
  </si>
  <si>
    <t>NetCashFromIA</t>
  </si>
  <si>
    <t>NetCashFromFA</t>
  </si>
  <si>
    <t>CashEnd</t>
  </si>
  <si>
    <t>P/E TTM</t>
  </si>
  <si>
    <t>Stock Price</t>
  </si>
  <si>
    <t>Market Cap</t>
  </si>
  <si>
    <t>FX</t>
  </si>
  <si>
    <t>P/Sales TTM</t>
  </si>
  <si>
    <t>Enterprise Value</t>
  </si>
  <si>
    <t>EV/EBITDA TTM</t>
  </si>
  <si>
    <t>*Skjal hannað fyrir ICEAIR</t>
  </si>
  <si>
    <t>Multiples and other figures</t>
  </si>
  <si>
    <t>Outstanding Shares</t>
  </si>
  <si>
    <t>Issued Shares</t>
  </si>
  <si>
    <t>Treasury Shares</t>
  </si>
  <si>
    <t>Market Cap FX</t>
  </si>
  <si>
    <t>P/E FTM</t>
  </si>
  <si>
    <t>EV/EBITDA FTM</t>
  </si>
  <si>
    <t>NIBL</t>
  </si>
  <si>
    <t>Revenues Change QoQ</t>
  </si>
  <si>
    <t>Revenues Change YoY</t>
  </si>
  <si>
    <t>Q1</t>
  </si>
  <si>
    <t>Q2</t>
  </si>
  <si>
    <t>Q3</t>
  </si>
  <si>
    <t>Q4</t>
  </si>
  <si>
    <t xml:space="preserve">          KODIAK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</si>
</sst>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0.0"/>
    <numFmt numFmtId="166" formatCode="#,##0.0"/>
    <numFmt numFmtId="167" formatCode="0.0%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2" xfId="0" applyFont="1" applyBorder="1"/>
    <xf numFmtId="0" fontId="2" fillId="0" borderId="2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6" fillId="3" borderId="0" xfId="0" applyFont="1" applyFill="1" applyBorder="1" applyAlignment="1">
      <alignment horizontal="center"/>
    </xf>
    <xf numFmtId="0" fontId="7" fillId="0" borderId="0" xfId="0" applyFont="1"/>
    <xf numFmtId="0" fontId="4" fillId="0" borderId="2" xfId="0" applyFont="1" applyBorder="1"/>
    <xf numFmtId="0" fontId="8" fillId="2" borderId="2" xfId="0" applyFont="1" applyFill="1" applyBorder="1" applyAlignment="1">
      <alignment horizontal="center"/>
    </xf>
    <xf numFmtId="14" fontId="1" fillId="0" borderId="0" xfId="0" applyNumberFormat="1" applyFont="1"/>
    <xf numFmtId="3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left"/>
    </xf>
    <xf numFmtId="3" fontId="1" fillId="4" borderId="3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/>
    <xf numFmtId="0" fontId="1" fillId="0" borderId="0" xfId="0" applyFont="1" applyBorder="1"/>
    <xf numFmtId="0" fontId="2" fillId="5" borderId="4" xfId="0" applyFont="1" applyFill="1" applyBorder="1" applyAlignment="1">
      <alignment horizontal="right"/>
    </xf>
    <xf numFmtId="0" fontId="2" fillId="5" borderId="4" xfId="0" applyFont="1" applyFill="1" applyBorder="1"/>
    <xf numFmtId="0" fontId="5" fillId="2" borderId="5" xfId="0" applyFont="1" applyFill="1" applyBorder="1"/>
    <xf numFmtId="3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5" fillId="2" borderId="5" xfId="0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right"/>
    </xf>
    <xf numFmtId="17" fontId="2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7" fontId="11" fillId="0" borderId="0" xfId="1" applyNumberFormat="1" applyFont="1" applyAlignment="1">
      <alignment horizontal="right"/>
    </xf>
    <xf numFmtId="164" fontId="2" fillId="5" borderId="4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5" fillId="2" borderId="5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12" fillId="0" borderId="0" xfId="0" applyFont="1" applyAlignment="1">
      <alignment vertical="center"/>
    </xf>
    <xf numFmtId="165" fontId="1" fillId="0" borderId="2" xfId="0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Income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Sheet1!$B$38</c:f>
              <c:strCache>
                <c:ptCount val="1"/>
                <c:pt idx="0">
                  <c:v>Revenues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Sheet1!$C$21:$P$22</c:f>
              <c:multiLvlStrCache>
                <c:ptCount val="1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</c:lvl>
                <c:lvl>
                  <c:pt idx="0">
                    <c:v>2013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2014</c:v>
                  </c:pt>
                  <c:pt idx="6">
                    <c:v>2014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Sheet1!$C$38:$P$38</c:f>
              <c:numCache>
                <c:formatCode>#,##0_ ;[Red]\-#,##0\ </c:formatCode>
                <c:ptCount val="10"/>
                <c:pt idx="0">
                  <c:v>173.04499999999999</c:v>
                </c:pt>
                <c:pt idx="1">
                  <c:v>265.60000000000002</c:v>
                </c:pt>
                <c:pt idx="2">
                  <c:v>371.66199999999998</c:v>
                </c:pt>
                <c:pt idx="3">
                  <c:v>212.65</c:v>
                </c:pt>
                <c:pt idx="4">
                  <c:v>191.27699999999999</c:v>
                </c:pt>
                <c:pt idx="5">
                  <c:v>297.79300000000001</c:v>
                </c:pt>
                <c:pt idx="6">
                  <c:v>418.74599999999998</c:v>
                </c:pt>
                <c:pt idx="7">
                  <c:v>205.48099999999999</c:v>
                </c:pt>
                <c:pt idx="8">
                  <c:v>186.07499999999999</c:v>
                </c:pt>
                <c:pt idx="9">
                  <c:v>294.21199999999999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18232"/>
        <c:axId val="140119800"/>
      </c:barChart>
      <c:lineChart>
        <c:grouping val="standard"/>
        <c:varyColors val="0"/>
        <c:ser>
          <c:idx val="1"/>
          <c:order val="1"/>
          <c:tx>
            <c:strRef>
              <c:f>Sheet1!$B$24</c:f>
              <c:strCache>
                <c:ptCount val="1"/>
                <c:pt idx="0">
                  <c:v>Revenues Change QoQ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Sheet1!$C$21:$P$22</c:f>
              <c:multiLvlStrCache>
                <c:ptCount val="1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</c:lvl>
                <c:lvl>
                  <c:pt idx="0">
                    <c:v>2013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2014</c:v>
                  </c:pt>
                  <c:pt idx="6">
                    <c:v>2014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Sheet1!$C$24:$P$24</c:f>
              <c:numCache>
                <c:formatCode>0.0%</c:formatCode>
                <c:ptCount val="10"/>
                <c:pt idx="0">
                  <c:v>-8.6457750419697832E-2</c:v>
                </c:pt>
                <c:pt idx="1">
                  <c:v>0.53486087433904506</c:v>
                </c:pt>
                <c:pt idx="2">
                  <c:v>0.3993298192771082</c:v>
                </c:pt>
                <c:pt idx="3">
                  <c:v>-0.42784034956492722</c:v>
                </c:pt>
                <c:pt idx="4">
                  <c:v>-0.10050787679285222</c:v>
                </c:pt>
                <c:pt idx="5">
                  <c:v>0.55686778859977948</c:v>
                </c:pt>
                <c:pt idx="6">
                  <c:v>0.40616468486499002</c:v>
                </c:pt>
                <c:pt idx="7">
                  <c:v>-0.50929441714070101</c:v>
                </c:pt>
                <c:pt idx="8">
                  <c:v>-9.4441821871608544E-2</c:v>
                </c:pt>
                <c:pt idx="9">
                  <c:v>0.58114738680639522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Sheet1!$B$25</c:f>
              <c:strCache>
                <c:ptCount val="1"/>
                <c:pt idx="0">
                  <c:v>Revenues Change YoY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Sheet1!$C$21:$P$22</c:f>
              <c:multiLvlStrCache>
                <c:ptCount val="1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</c:lvl>
                <c:lvl>
                  <c:pt idx="0">
                    <c:v>2013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2014</c:v>
                  </c:pt>
                  <c:pt idx="6">
                    <c:v>2014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Sheet1!$C$25:$P$25</c:f>
              <c:numCache>
                <c:formatCode>0.0%</c:formatCode>
                <c:ptCount val="10"/>
                <c:pt idx="0">
                  <c:v>9.7318926048522991E-2</c:v>
                </c:pt>
                <c:pt idx="1">
                  <c:v>0.13312997290897854</c:v>
                </c:pt>
                <c:pt idx="2">
                  <c:v>0.17113858157056372</c:v>
                </c:pt>
                <c:pt idx="3">
                  <c:v>0.12262567178046901</c:v>
                </c:pt>
                <c:pt idx="4">
                  <c:v>0.1053598774885145</c:v>
                </c:pt>
                <c:pt idx="5">
                  <c:v>0.12120858433734938</c:v>
                </c:pt>
                <c:pt idx="6">
                  <c:v>0.12668499873541017</c:v>
                </c:pt>
                <c:pt idx="7">
                  <c:v>-3.3712673407006899E-2</c:v>
                </c:pt>
                <c:pt idx="8">
                  <c:v>-2.7196160542041103E-2</c:v>
                </c:pt>
                <c:pt idx="9">
                  <c:v>-1.2025131551111068E-2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132880"/>
        <c:axId val="140118624"/>
      </c:lineChart>
      <c:catAx>
        <c:axId val="14011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0119800"/>
        <c:crosses val="autoZero"/>
        <c:auto val="1"/>
        <c:lblAlgn val="ctr"/>
        <c:lblOffset val="100"/>
        <c:noMultiLvlLbl val="0"/>
      </c:catAx>
      <c:valAx>
        <c:axId val="14011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0118232"/>
        <c:crosses val="autoZero"/>
        <c:crossBetween val="between"/>
      </c:valAx>
      <c:valAx>
        <c:axId val="14011862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09132880"/>
        <c:crosses val="max"/>
        <c:crossBetween val="between"/>
      </c:valAx>
      <c:catAx>
        <c:axId val="509132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118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EV/EBITDA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EV/EBITDA TTM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Sheet1!$C$21:$P$22</c:f>
              <c:multiLvlStrCache>
                <c:ptCount val="1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</c:lvl>
                <c:lvl>
                  <c:pt idx="0">
                    <c:v>2013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2014</c:v>
                  </c:pt>
                  <c:pt idx="6">
                    <c:v>2014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Sheet1!$C$15:$P$15</c:f>
              <c:numCache>
                <c:formatCode>0.00</c:formatCode>
                <c:ptCount val="10"/>
                <c:pt idx="0">
                  <c:v>4.336169389406078</c:v>
                </c:pt>
                <c:pt idx="1">
                  <c:v>3.7506207451761142</c:v>
                </c:pt>
                <c:pt idx="2">
                  <c:v>3.8223336549613727</c:v>
                </c:pt>
                <c:pt idx="3">
                  <c:v>5.0287642174932285</c:v>
                </c:pt>
                <c:pt idx="4">
                  <c:v>4.505812344553231</c:v>
                </c:pt>
                <c:pt idx="5">
                  <c:v>3.8803235429699723</c:v>
                </c:pt>
                <c:pt idx="6">
                  <c:v>3.3380076553411113</c:v>
                </c:pt>
                <c:pt idx="7">
                  <c:v>4.6355824540898674</c:v>
                </c:pt>
                <c:pt idx="8">
                  <c:v>3.3813118460857461</c:v>
                </c:pt>
                <c:pt idx="9">
                  <c:v>4.1162020335593752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Sheet1!$B$16</c:f>
              <c:strCache>
                <c:ptCount val="1"/>
                <c:pt idx="0">
                  <c:v>EV/EBITDA FTM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Sheet1!$C$21:$P$22</c:f>
              <c:multiLvlStrCache>
                <c:ptCount val="1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</c:lvl>
                <c:lvl>
                  <c:pt idx="0">
                    <c:v>2013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2014</c:v>
                  </c:pt>
                  <c:pt idx="6">
                    <c:v>2014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Sheet1!$C$16:$P$16</c:f>
              <c:numCache>
                <c:formatCode>0.00</c:formatCode>
                <c:ptCount val="10"/>
                <c:pt idx="0">
                  <c:v>3.1494632305769001</c:v>
                </c:pt>
                <c:pt idx="1">
                  <c:v>3.203871518612162</c:v>
                </c:pt>
                <c:pt idx="2">
                  <c:v>3.8704706002416898</c:v>
                </c:pt>
                <c:pt idx="3">
                  <c:v>4.4427459069255519</c:v>
                </c:pt>
                <c:pt idx="4">
                  <c:v>4.0498534932189365</c:v>
                </c:pt>
                <c:pt idx="5">
                  <c:v>3.308976908847808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132488"/>
        <c:axId val="509133664"/>
      </c:lineChart>
      <c:catAx>
        <c:axId val="50913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09133664"/>
        <c:crosses val="autoZero"/>
        <c:auto val="1"/>
        <c:lblAlgn val="ctr"/>
        <c:lblOffset val="100"/>
        <c:noMultiLvlLbl val="0"/>
      </c:catAx>
      <c:valAx>
        <c:axId val="50913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0913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419099</xdr:colOff>
      <xdr:row>30</xdr:row>
      <xdr:rowOff>66675</xdr:rowOff>
    </xdr:from>
    <xdr:to>
      <xdr:col>25</xdr:col>
      <xdr:colOff>171450</xdr:colOff>
      <xdr:row>77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433386</xdr:colOff>
      <xdr:row>4</xdr:row>
      <xdr:rowOff>47624</xdr:rowOff>
    </xdr:from>
    <xdr:to>
      <xdr:col>25</xdr:col>
      <xdr:colOff>171449</xdr:colOff>
      <xdr:row>28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85725</xdr:rowOff>
    </xdr:from>
    <xdr:to>
      <xdr:col>0</xdr:col>
      <xdr:colOff>657154</xdr:colOff>
      <xdr:row>0</xdr:row>
      <xdr:rowOff>647630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85725"/>
          <a:ext cx="561904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showGridLines="0" tabSelected="1" workbookViewId="0">
      <selection activeCell="P65" sqref="P65"/>
    </sheetView>
  </sheetViews>
  <sheetFormatPr defaultRowHeight="12.75" outlineLevelRow="1" outlineLevelCol="1" x14ac:dyDescent="0.2"/>
  <cols>
    <col min="1" max="1" width="18" style="1" bestFit="1" customWidth="1"/>
    <col min="2" max="2" width="42.85546875" style="1" bestFit="1" customWidth="1"/>
    <col min="3" max="6" width="10.5703125" style="26" hidden="1" customWidth="1" outlineLevel="1"/>
    <col min="7" max="7" width="10.5703125" style="26" customWidth="1" collapsed="1"/>
    <col min="8" max="14" width="10.5703125" style="26" customWidth="1"/>
    <col min="15" max="16" width="9.140625" style="26"/>
    <col min="17" max="16384" width="9.140625" style="1"/>
  </cols>
  <sheetData>
    <row r="1" spans="1:17" ht="57.75" customHeight="1" x14ac:dyDescent="0.2">
      <c r="A1" s="39" t="s">
        <v>49</v>
      </c>
    </row>
    <row r="3" spans="1:17" x14ac:dyDescent="0.2">
      <c r="A3" s="17" t="s">
        <v>4</v>
      </c>
      <c r="B3" s="16">
        <v>1000000</v>
      </c>
    </row>
    <row r="4" spans="1:17" x14ac:dyDescent="0.2">
      <c r="B4" s="2"/>
    </row>
    <row r="5" spans="1:17" ht="18.75" x14ac:dyDescent="0.3">
      <c r="A5" s="10" t="s">
        <v>35</v>
      </c>
      <c r="B5" s="15"/>
      <c r="C5" s="30">
        <f>DATE(C$21,4,1)</f>
        <v>41000</v>
      </c>
      <c r="D5" s="30">
        <f t="shared" ref="D5:L5" si="0">EDATE(C5,3)</f>
        <v>41091</v>
      </c>
      <c r="E5" s="30">
        <f t="shared" si="0"/>
        <v>41183</v>
      </c>
      <c r="F5" s="30">
        <f t="shared" si="0"/>
        <v>41275</v>
      </c>
      <c r="G5" s="30">
        <f t="shared" si="0"/>
        <v>41365</v>
      </c>
      <c r="H5" s="30">
        <f t="shared" si="0"/>
        <v>41456</v>
      </c>
      <c r="I5" s="30">
        <f t="shared" si="0"/>
        <v>41548</v>
      </c>
      <c r="J5" s="30">
        <f t="shared" si="0"/>
        <v>41640</v>
      </c>
      <c r="K5" s="30">
        <f t="shared" si="0"/>
        <v>41730</v>
      </c>
      <c r="L5" s="30">
        <f t="shared" si="0"/>
        <v>41821</v>
      </c>
      <c r="M5" s="30">
        <v>41912</v>
      </c>
      <c r="N5" s="30">
        <f>EDATE(M5,3)</f>
        <v>42003</v>
      </c>
      <c r="O5" s="30">
        <f>EDATE(N5,3)</f>
        <v>42093</v>
      </c>
      <c r="P5" s="30">
        <f>EDATE(O5,3)</f>
        <v>42185</v>
      </c>
      <c r="Q5" s="12"/>
    </row>
    <row r="6" spans="1:17" x14ac:dyDescent="0.2">
      <c r="B6" s="2" t="s">
        <v>28</v>
      </c>
      <c r="F6" s="26">
        <f>_xll.LastPriceD($A$21,F$5)</f>
        <v>8.2200000000000006</v>
      </c>
      <c r="G6" s="26">
        <f>_xll.LastPriceD($A$21,G$5)</f>
        <v>11.35</v>
      </c>
      <c r="H6" s="26">
        <f>_xll.LastPriceD($A$21,H$5)</f>
        <v>13</v>
      </c>
      <c r="I6" s="26">
        <f>_xll.LastPriceD($A$21,I$5)</f>
        <v>15.25</v>
      </c>
      <c r="J6" s="26">
        <f>_xll.LastPriceD($A$21,J$5)</f>
        <v>18.2</v>
      </c>
      <c r="K6" s="26">
        <f>_xll.LastPriceD($A$21,K$5)</f>
        <v>17.7</v>
      </c>
      <c r="L6" s="26">
        <f>_xll.LastPriceD($A$21,L$5)</f>
        <v>17</v>
      </c>
      <c r="M6" s="26">
        <f>_xll.LastPriceD($A$21,M$5)</f>
        <v>17.350000000000001</v>
      </c>
      <c r="N6" s="26">
        <f>_xll.LastPriceD($A$21,N$5)</f>
        <v>21.4</v>
      </c>
      <c r="O6" s="26">
        <f>_xll.LastPriceD($A$21,O$5)</f>
        <v>20.95</v>
      </c>
      <c r="P6" s="26">
        <f>_xll.LastPriceD($A$21,P$5)</f>
        <v>24.95</v>
      </c>
      <c r="Q6" s="12"/>
    </row>
    <row r="7" spans="1:17" hidden="1" outlineLevel="1" x14ac:dyDescent="0.2">
      <c r="B7" s="2" t="s">
        <v>37</v>
      </c>
      <c r="F7" s="13">
        <f>_xll.CNumberOfSharesD($A$21,_xll.FyrriVidskiptadagur(F$5))/$B$3</f>
        <v>5000</v>
      </c>
      <c r="G7" s="13">
        <f>_xll.CNumberOfSharesD($A$21,_xll.FyrriVidskiptadagur(G$5))/$B$3</f>
        <v>5000</v>
      </c>
      <c r="H7" s="13">
        <f>_xll.CNumberOfSharesD($A$21,_xll.FyrriVidskiptadagur(H$5))/$B$3</f>
        <v>5000</v>
      </c>
      <c r="I7" s="13">
        <f>_xll.CNumberOfSharesD($A$21,_xll.FyrriVidskiptadagur(I$5))/$B$3</f>
        <v>5000</v>
      </c>
      <c r="J7" s="13">
        <f>_xll.CNumberOfSharesD($A$21,_xll.FyrriVidskiptadagur(J$5))/$B$3</f>
        <v>5000</v>
      </c>
      <c r="K7" s="13">
        <f>_xll.CNumberOfSharesD($A$21,_xll.FyrriVidskiptadagur(K$5))/$B$3</f>
        <v>5000</v>
      </c>
      <c r="L7" s="13">
        <f>_xll.CNumberOfSharesD($A$21,_xll.FyrriVidskiptadagur(L$5))/$B$3</f>
        <v>5000</v>
      </c>
      <c r="M7" s="13">
        <f>_xll.CNumberOfSharesD($A$21,_xll.FyrriVidskiptadagur(M$5))/$B$3</f>
        <v>5000</v>
      </c>
      <c r="N7" s="13">
        <f>_xll.CNumberOfSharesD($A$21,_xll.FyrriVidskiptadagur(N$5))/$B$3</f>
        <v>5000</v>
      </c>
      <c r="O7" s="13">
        <f>_xll.CNumberOfSharesD($A$21,_xll.FyrriVidskiptadagur(O$5))/$B$3</f>
        <v>5000</v>
      </c>
      <c r="P7" s="13">
        <f>_xll.CNumberOfSharesD($A$21,_xll.FyrriVidskiptadagur(P$5))/$B$3</f>
        <v>5000</v>
      </c>
      <c r="Q7" s="12"/>
    </row>
    <row r="8" spans="1:17" hidden="1" outlineLevel="1" x14ac:dyDescent="0.2">
      <c r="B8" s="2" t="s">
        <v>38</v>
      </c>
      <c r="F8" s="13">
        <f>IFERROR(_xll.OwnSharesD($A$21,_xll.CompanyOwnerLatestDateD($A$21,F$5))/$B$3,0)</f>
        <v>0</v>
      </c>
      <c r="G8" s="13">
        <f>IFERROR(_xll.OwnSharesD($A$21,_xll.CompanyOwnerLatestDateD($A$21,G$5))/$B$3,0)</f>
        <v>0</v>
      </c>
      <c r="H8" s="13">
        <f>IFERROR(_xll.OwnSharesD($A$21,_xll.CompanyOwnerLatestDateD($A$21,H$5))/$B$3,0)</f>
        <v>0</v>
      </c>
      <c r="I8" s="13">
        <f>IFERROR(_xll.OwnSharesD($A$21,_xll.CompanyOwnerLatestDateD($A$21,I$5))/$B$3,0)</f>
        <v>0</v>
      </c>
      <c r="J8" s="13">
        <f>IFERROR(_xll.OwnSharesD($A$21,_xll.CompanyOwnerLatestDateD($A$21,J$5))/$B$3,0)</f>
        <v>0</v>
      </c>
      <c r="K8" s="13">
        <f>IFERROR(_xll.OwnSharesD($A$21,_xll.CompanyOwnerLatestDateD($A$21,K$5))/$B$3,0)</f>
        <v>25.46</v>
      </c>
      <c r="L8" s="13">
        <f>IFERROR(_xll.OwnSharesD($A$21,_xll.CompanyOwnerLatestDateD($A$21,L$5))/$B$3,0)</f>
        <v>25.46</v>
      </c>
      <c r="M8" s="13">
        <f>IFERROR(_xll.OwnSharesD($A$21,_xll.CompanyOwnerLatestDateD($A$21,M$5))/$B$3,0)</f>
        <v>25.46</v>
      </c>
      <c r="N8" s="13">
        <f>IFERROR(_xll.OwnSharesD($A$21,_xll.CompanyOwnerLatestDateD($A$21,N$5))/$B$3,0)</f>
        <v>25.46</v>
      </c>
      <c r="O8" s="13">
        <f>IFERROR(_xll.OwnSharesD($A$21,_xll.CompanyOwnerLatestDateD($A$21,O$5))/$B$3,0)</f>
        <v>25.46</v>
      </c>
      <c r="P8" s="13">
        <f>IFERROR(_xll.OwnSharesD($A$21,_xll.CompanyOwnerLatestDateD($A$21,P$5))/$B$3,0)</f>
        <v>25.46</v>
      </c>
      <c r="Q8" s="12"/>
    </row>
    <row r="9" spans="1:17" collapsed="1" x14ac:dyDescent="0.2">
      <c r="B9" s="2" t="s">
        <v>36</v>
      </c>
      <c r="F9" s="13">
        <f t="shared" ref="F9:G9" si="1">F7-F8</f>
        <v>5000</v>
      </c>
      <c r="G9" s="13">
        <f t="shared" si="1"/>
        <v>5000</v>
      </c>
      <c r="H9" s="13">
        <f t="shared" ref="H9" si="2">H7-H8</f>
        <v>5000</v>
      </c>
      <c r="I9" s="13">
        <f t="shared" ref="I9" si="3">I7-I8</f>
        <v>5000</v>
      </c>
      <c r="J9" s="13">
        <f t="shared" ref="J9" si="4">J7-J8</f>
        <v>5000</v>
      </c>
      <c r="K9" s="13">
        <f t="shared" ref="K9" si="5">K7-K8</f>
        <v>4974.54</v>
      </c>
      <c r="L9" s="13">
        <f t="shared" ref="L9" si="6">L7-L8</f>
        <v>4974.54</v>
      </c>
      <c r="M9" s="13">
        <f t="shared" ref="M9" si="7">M7-M8</f>
        <v>4974.54</v>
      </c>
      <c r="N9" s="13">
        <f t="shared" ref="N9:O9" si="8">N7-N8</f>
        <v>4974.54</v>
      </c>
      <c r="O9" s="13">
        <f t="shared" si="8"/>
        <v>4974.54</v>
      </c>
      <c r="P9" s="13">
        <f t="shared" ref="P9" si="9">P7-P8</f>
        <v>4974.54</v>
      </c>
      <c r="Q9" s="12"/>
    </row>
    <row r="10" spans="1:17" hidden="1" outlineLevel="1" x14ac:dyDescent="0.2">
      <c r="B10" s="2" t="s">
        <v>29</v>
      </c>
      <c r="C10" s="13"/>
      <c r="D10" s="13"/>
      <c r="E10" s="13"/>
      <c r="F10" s="13">
        <f>F9*F6</f>
        <v>41100</v>
      </c>
      <c r="G10" s="13">
        <f>G9*G6</f>
        <v>56750</v>
      </c>
      <c r="H10" s="13">
        <f t="shared" ref="H10:O10" si="10">H9*H6</f>
        <v>65000</v>
      </c>
      <c r="I10" s="13">
        <f t="shared" si="10"/>
        <v>76250</v>
      </c>
      <c r="J10" s="13">
        <f t="shared" si="10"/>
        <v>91000</v>
      </c>
      <c r="K10" s="13">
        <f t="shared" si="10"/>
        <v>88049.357999999993</v>
      </c>
      <c r="L10" s="13">
        <f t="shared" si="10"/>
        <v>84567.18</v>
      </c>
      <c r="M10" s="13">
        <f t="shared" si="10"/>
        <v>86308.269</v>
      </c>
      <c r="N10" s="13">
        <f t="shared" si="10"/>
        <v>106455.15599999999</v>
      </c>
      <c r="O10" s="13">
        <f t="shared" si="10"/>
        <v>104216.613</v>
      </c>
      <c r="P10" s="13">
        <f t="shared" ref="P10" si="11">P9*P6</f>
        <v>124114.773</v>
      </c>
    </row>
    <row r="11" spans="1:17" hidden="1" outlineLevel="1" x14ac:dyDescent="0.2">
      <c r="A11" s="28" t="str">
        <f>_xll.FinancialsCurrency(A21)</f>
        <v>USD</v>
      </c>
      <c r="B11" s="2" t="s">
        <v>30</v>
      </c>
      <c r="C11" s="13"/>
      <c r="D11" s="13"/>
      <c r="E11" s="13"/>
      <c r="F11" s="25">
        <f>IFERROR(_xll.CrossRateD(CONCATENATE("ISK",$A$11),F$5),"-")</f>
        <v>127.83884999999999</v>
      </c>
      <c r="G11" s="25">
        <f>IFERROR(_xll.CrossRateD(CONCATENATE("ISK",$A$11),G$5),"-")</f>
        <v>124.43501000000001</v>
      </c>
      <c r="H11" s="25">
        <f>IFERROR(_xll.CrossRateD(CONCATENATE("ISK",$A$11),H$5),"-")</f>
        <v>123.40568</v>
      </c>
      <c r="I11" s="25">
        <f>IFERROR(_xll.CrossRateD(CONCATENATE("ISK",$A$11),I$5),"-")</f>
        <v>120.48645</v>
      </c>
      <c r="J11" s="25">
        <f>IFERROR(_xll.CrossRateD(CONCATENATE("ISK",$A$11),J$5),"-")</f>
        <v>114.8693</v>
      </c>
      <c r="K11" s="25">
        <f>IFERROR(_xll.CrossRateD(CONCATENATE("ISK",$A$11),K$5),"-")</f>
        <v>112.66247</v>
      </c>
      <c r="L11" s="25">
        <f>IFERROR(_xll.CrossRateD(CONCATENATE("ISK",$A$11),L$5),"-")</f>
        <v>112.15706</v>
      </c>
      <c r="M11" s="25">
        <f>IFERROR(_xll.CrossRateD(CONCATENATE("ISK",$A$11),M$5),"-")</f>
        <v>120.69611999999999</v>
      </c>
      <c r="N11" s="25">
        <f>IFERROR(_xll.CrossRateD(CONCATENATE("ISK",$A$11),N$5),"-")</f>
        <v>126.99319</v>
      </c>
      <c r="O11" s="25">
        <f>IFERROR(_xll.CrossRateD(CONCATENATE("ISK",$A$11),O$5),"-")</f>
        <v>136.93809999999999</v>
      </c>
      <c r="P11" s="25">
        <f>IFERROR(_xll.CrossRateD(CONCATENATE("ISK",$A$11),P$5),"-")</f>
        <v>132.34664000000001</v>
      </c>
    </row>
    <row r="12" spans="1:17" collapsed="1" x14ac:dyDescent="0.2">
      <c r="B12" s="2" t="s">
        <v>39</v>
      </c>
      <c r="C12" s="13"/>
      <c r="D12" s="13"/>
      <c r="E12" s="13"/>
      <c r="F12" s="13">
        <f t="shared" ref="F12:G12" si="12">F10/F11</f>
        <v>321.49851160269355</v>
      </c>
      <c r="G12" s="13">
        <f t="shared" si="12"/>
        <v>456.06136086620637</v>
      </c>
      <c r="H12" s="13">
        <f t="shared" ref="H12" si="13">H10/H11</f>
        <v>526.71805706187911</v>
      </c>
      <c r="I12" s="13">
        <f t="shared" ref="I12" si="14">I10/I11</f>
        <v>632.8512459284841</v>
      </c>
      <c r="J12" s="13">
        <f t="shared" ref="J12" si="15">J10/J11</f>
        <v>792.20470569595182</v>
      </c>
      <c r="K12" s="13">
        <f t="shared" ref="K12" si="16">K10/K11</f>
        <v>781.53228843642421</v>
      </c>
      <c r="L12" s="13">
        <f t="shared" ref="L12" si="17">L10/L11</f>
        <v>754.00674732379741</v>
      </c>
      <c r="M12" s="13">
        <f t="shared" ref="M12" si="18">M10/M11</f>
        <v>715.0873532637172</v>
      </c>
      <c r="N12" s="13">
        <f t="shared" ref="N12:O12" si="19">N10/N11</f>
        <v>838.27452479932185</v>
      </c>
      <c r="O12" s="13">
        <f t="shared" si="19"/>
        <v>761.04906523458408</v>
      </c>
      <c r="P12" s="13">
        <f t="shared" ref="P12" si="20">P10/P11</f>
        <v>937.80071031648401</v>
      </c>
    </row>
    <row r="13" spans="1:17" x14ac:dyDescent="0.2">
      <c r="B13" s="2" t="s">
        <v>42</v>
      </c>
      <c r="C13" s="13"/>
      <c r="D13" s="13"/>
      <c r="E13" s="13"/>
      <c r="F13" s="13">
        <f>IFERROR(F98+F103-F88,"-")</f>
        <v>33.846000000000004</v>
      </c>
      <c r="G13" s="13">
        <f>IFERROR(G98+G103-G88,"-")</f>
        <v>-3.4519999999999982</v>
      </c>
      <c r="H13" s="13">
        <f t="shared" ref="H13:O13" si="21">IFERROR(H98+H103-H88,"-")</f>
        <v>-82.276999999999987</v>
      </c>
      <c r="I13" s="13">
        <f t="shared" si="21"/>
        <v>-87.02200000000002</v>
      </c>
      <c r="J13" s="13">
        <f t="shared" si="21"/>
        <v>-69.521000000000015</v>
      </c>
      <c r="K13" s="13">
        <f t="shared" si="21"/>
        <v>-156.48599999999999</v>
      </c>
      <c r="L13" s="13">
        <f t="shared" si="21"/>
        <v>-206.78800000000001</v>
      </c>
      <c r="M13" s="13">
        <f t="shared" si="21"/>
        <v>-172.107</v>
      </c>
      <c r="N13" s="13">
        <f t="shared" si="21"/>
        <v>-122.828</v>
      </c>
      <c r="O13" s="13">
        <f t="shared" si="21"/>
        <v>-201.86799999999997</v>
      </c>
      <c r="P13" s="13">
        <f t="shared" ref="P13" si="22">IFERROR(P98+P103-P88,"-")</f>
        <v>-236.40400000000002</v>
      </c>
    </row>
    <row r="14" spans="1:17" x14ac:dyDescent="0.2">
      <c r="B14" s="2" t="s">
        <v>32</v>
      </c>
      <c r="F14" s="13">
        <f>IFERROR(F12+F13,"-")</f>
        <v>355.34451160269356</v>
      </c>
      <c r="G14" s="13">
        <f>IFERROR(G12+G13,"-")</f>
        <v>452.60936086620637</v>
      </c>
      <c r="H14" s="13">
        <f t="shared" ref="H14:O14" si="23">IFERROR(H12+H13,"-")</f>
        <v>444.44105706187912</v>
      </c>
      <c r="I14" s="13">
        <f t="shared" si="23"/>
        <v>545.82924592848406</v>
      </c>
      <c r="J14" s="13">
        <f t="shared" si="23"/>
        <v>722.68370569595186</v>
      </c>
      <c r="K14" s="13">
        <f t="shared" si="23"/>
        <v>625.04628843642422</v>
      </c>
      <c r="L14" s="13">
        <f t="shared" si="23"/>
        <v>547.2187473237974</v>
      </c>
      <c r="M14" s="13">
        <f t="shared" si="23"/>
        <v>542.98035326371723</v>
      </c>
      <c r="N14" s="13">
        <f t="shared" si="23"/>
        <v>715.44652479932188</v>
      </c>
      <c r="O14" s="13">
        <f t="shared" si="23"/>
        <v>559.18106523458414</v>
      </c>
      <c r="P14" s="13">
        <f t="shared" ref="P14" si="24">IFERROR(P12+P13,"-")</f>
        <v>701.39671031648402</v>
      </c>
    </row>
    <row r="15" spans="1:17" x14ac:dyDescent="0.2">
      <c r="A15" s="19"/>
      <c r="B15" s="23" t="s">
        <v>33</v>
      </c>
      <c r="C15" s="31"/>
      <c r="D15" s="31"/>
      <c r="E15" s="31"/>
      <c r="F15" s="24">
        <f>IFERROR(F$14/SUM(C56:F56),"-")</f>
        <v>3.2408342447758565</v>
      </c>
      <c r="G15" s="24">
        <f>IFERROR(G$14/SUM(D56:G56),"-")</f>
        <v>4.336169389406078</v>
      </c>
      <c r="H15" s="24">
        <f t="shared" ref="H15:P15" si="25">IFERROR(H$14/SUM(E56:H56),"-")</f>
        <v>3.7506207451761142</v>
      </c>
      <c r="I15" s="24">
        <f t="shared" si="25"/>
        <v>3.8223336549613727</v>
      </c>
      <c r="J15" s="24">
        <f t="shared" si="25"/>
        <v>5.0287642174932285</v>
      </c>
      <c r="K15" s="24">
        <f t="shared" si="25"/>
        <v>4.505812344553231</v>
      </c>
      <c r="L15" s="24">
        <f t="shared" si="25"/>
        <v>3.8803235429699723</v>
      </c>
      <c r="M15" s="24">
        <f t="shared" si="25"/>
        <v>3.3380076553411113</v>
      </c>
      <c r="N15" s="24">
        <f t="shared" si="25"/>
        <v>4.6355824540898674</v>
      </c>
      <c r="O15" s="24">
        <f t="shared" si="25"/>
        <v>3.3813118460857461</v>
      </c>
      <c r="P15" s="24">
        <f t="shared" si="25"/>
        <v>4.1162020335593752</v>
      </c>
    </row>
    <row r="16" spans="1:17" x14ac:dyDescent="0.2">
      <c r="A16" s="19"/>
      <c r="B16" s="23" t="s">
        <v>41</v>
      </c>
      <c r="C16" s="31"/>
      <c r="D16" s="31"/>
      <c r="E16" s="31"/>
      <c r="F16" s="24">
        <f>IF(ISNUMBER(I56),F14/SUM(F56:I56),"-")</f>
        <v>2.4884069439964533</v>
      </c>
      <c r="G16" s="24">
        <f>IF(ISNUMBER(J56),G14/SUM(G56:J56),"-")</f>
        <v>3.1494632305769001</v>
      </c>
      <c r="H16" s="24">
        <f t="shared" ref="H16:L16" si="26">IF(ISNUMBER(K56),H14/SUM(H56:K56),"-")</f>
        <v>3.203871518612162</v>
      </c>
      <c r="I16" s="24">
        <f t="shared" si="26"/>
        <v>3.8704706002416898</v>
      </c>
      <c r="J16" s="24">
        <f t="shared" si="26"/>
        <v>4.4427459069255519</v>
      </c>
      <c r="K16" s="24">
        <f t="shared" si="26"/>
        <v>4.0498534932189365</v>
      </c>
      <c r="L16" s="24">
        <f t="shared" si="26"/>
        <v>3.308976908847808</v>
      </c>
      <c r="M16" s="24" t="str">
        <f>IF(ISNUMBER(Q56),M14/SUM(M56:Q56),"-")</f>
        <v>-</v>
      </c>
      <c r="N16" s="24" t="str">
        <f>IF(ISNUMBER(R56),N14/SUM(N56:R56),"-")</f>
        <v>-</v>
      </c>
      <c r="O16" s="24" t="str">
        <f>IF(ISNUMBER(S56),O14/SUM(O56:S56),"-")</f>
        <v>-</v>
      </c>
      <c r="P16" s="24" t="str">
        <f>IF(ISNUMBER(T56),P14/SUM(P56:T56),"-")</f>
        <v>-</v>
      </c>
    </row>
    <row r="17" spans="1:16" x14ac:dyDescent="0.2">
      <c r="B17" s="2" t="s">
        <v>27</v>
      </c>
      <c r="F17" s="14">
        <f>F10/SUM(C75:F75)/F$11</f>
        <v>7.2614006008513501</v>
      </c>
      <c r="G17" s="14">
        <f>G10/SUM(D75:G75)/G$11</f>
        <v>11.641642906603865</v>
      </c>
      <c r="H17" s="14">
        <f t="shared" ref="H17:P17" si="27">H10/SUM(E75:H75)/H$11</f>
        <v>12.151480114932845</v>
      </c>
      <c r="I17" s="14">
        <f t="shared" si="27"/>
        <v>11.042789892137082</v>
      </c>
      <c r="J17" s="14">
        <f t="shared" si="27"/>
        <v>14.041701331063702</v>
      </c>
      <c r="K17" s="14">
        <f t="shared" si="27"/>
        <v>16.286672955370825</v>
      </c>
      <c r="L17" s="14">
        <f t="shared" si="27"/>
        <v>14.531148168663831</v>
      </c>
      <c r="M17" s="14">
        <f t="shared" si="27"/>
        <v>9.8816741969697652</v>
      </c>
      <c r="N17" s="14">
        <f t="shared" si="27"/>
        <v>12.605821513095265</v>
      </c>
      <c r="O17" s="14">
        <f t="shared" si="27"/>
        <v>9.6741885548709003</v>
      </c>
      <c r="P17" s="14">
        <f t="shared" si="27"/>
        <v>11.925237923658241</v>
      </c>
    </row>
    <row r="18" spans="1:16" x14ac:dyDescent="0.2">
      <c r="B18" s="2" t="s">
        <v>40</v>
      </c>
      <c r="F18" s="14">
        <f>IF(ISNUMBER(I75),F12/SUM(F75:I75),"-")</f>
        <v>5.6099131306198604</v>
      </c>
      <c r="G18" s="14">
        <f>IF(ISNUMBER(J75),G12/SUM(G75:J75),"-")</f>
        <v>8.0836144646426042</v>
      </c>
      <c r="H18" s="14">
        <f t="shared" ref="H18:L18" si="28">IF(ISNUMBER(K75),H12/SUM(H75:K75),"-")</f>
        <v>10.976494332969599</v>
      </c>
      <c r="I18" s="14">
        <f t="shared" si="28"/>
        <v>12.196250571960997</v>
      </c>
      <c r="J18" s="14">
        <f t="shared" si="28"/>
        <v>10.9473461714358</v>
      </c>
      <c r="K18" s="14">
        <f t="shared" si="28"/>
        <v>11.752541969599907</v>
      </c>
      <c r="L18" s="14">
        <f t="shared" si="28"/>
        <v>9.5846690817587508</v>
      </c>
      <c r="M18" s="14" t="str">
        <f>IF(ISNUMBER(Q75),M12/SUM(M75:Q75),"-")</f>
        <v>-</v>
      </c>
      <c r="N18" s="14" t="str">
        <f>IF(ISNUMBER(R75),N12/SUM(N75:R75),"-")</f>
        <v>-</v>
      </c>
      <c r="O18" s="14" t="str">
        <f>IF(ISNUMBER(S75),O12/SUM(O75:S75),"-")</f>
        <v>-</v>
      </c>
      <c r="P18" s="14" t="str">
        <f>IF(ISNUMBER(T75),P12/SUM(P75:T75),"-")</f>
        <v>-</v>
      </c>
    </row>
    <row r="19" spans="1:16" x14ac:dyDescent="0.2">
      <c r="A19" s="4"/>
      <c r="B19" s="15" t="s">
        <v>31</v>
      </c>
      <c r="C19" s="32"/>
      <c r="D19" s="32"/>
      <c r="E19" s="32"/>
      <c r="F19" s="40">
        <f t="shared" ref="F19:P19" si="29">F12/SUM(C38:F38)</f>
        <v>0.3576712342025325</v>
      </c>
      <c r="G19" s="40">
        <f t="shared" si="29"/>
        <v>0.49885678815134588</v>
      </c>
      <c r="H19" s="40">
        <f t="shared" si="29"/>
        <v>0.55712717238499698</v>
      </c>
      <c r="I19" s="40">
        <f t="shared" si="29"/>
        <v>0.63302279510595783</v>
      </c>
      <c r="J19" s="40">
        <f t="shared" si="29"/>
        <v>0.77442620334574364</v>
      </c>
      <c r="K19" s="40">
        <f t="shared" si="29"/>
        <v>0.75061519900462292</v>
      </c>
      <c r="L19" s="40">
        <f t="shared" si="29"/>
        <v>0.70245890775492548</v>
      </c>
      <c r="M19" s="40">
        <f t="shared" si="29"/>
        <v>0.63820531213237819</v>
      </c>
      <c r="N19" s="40">
        <f t="shared" si="29"/>
        <v>0.75296576277428384</v>
      </c>
      <c r="O19" s="40">
        <f t="shared" si="29"/>
        <v>0.68680850038542185</v>
      </c>
      <c r="P19" s="40">
        <f t="shared" si="29"/>
        <v>0.84906185916745658</v>
      </c>
    </row>
    <row r="20" spans="1:16" x14ac:dyDescent="0.2">
      <c r="B20" s="2"/>
    </row>
    <row r="21" spans="1:16" ht="15.75" x14ac:dyDescent="0.25">
      <c r="A21" s="11" t="s">
        <v>0</v>
      </c>
      <c r="B21" s="18" t="s">
        <v>34</v>
      </c>
      <c r="C21" s="3">
        <v>2012</v>
      </c>
      <c r="D21" s="3">
        <v>2012</v>
      </c>
      <c r="E21" s="3">
        <v>2012</v>
      </c>
      <c r="F21" s="3">
        <v>2012</v>
      </c>
      <c r="G21" s="3">
        <v>2013</v>
      </c>
      <c r="H21" s="3">
        <v>2013</v>
      </c>
      <c r="I21" s="3">
        <v>2013</v>
      </c>
      <c r="J21" s="3">
        <v>2013</v>
      </c>
      <c r="K21" s="3">
        <v>2014</v>
      </c>
      <c r="L21" s="3">
        <v>2014</v>
      </c>
      <c r="M21" s="3">
        <v>2014</v>
      </c>
      <c r="N21" s="3">
        <v>2014</v>
      </c>
      <c r="O21" s="3">
        <v>2015</v>
      </c>
      <c r="P21" s="3">
        <v>2015</v>
      </c>
    </row>
    <row r="22" spans="1:16" ht="18.75" x14ac:dyDescent="0.3">
      <c r="A22" s="10" t="s">
        <v>3</v>
      </c>
      <c r="B22" s="4"/>
      <c r="C22" s="5" t="s">
        <v>45</v>
      </c>
      <c r="D22" s="5" t="s">
        <v>46</v>
      </c>
      <c r="E22" s="5" t="s">
        <v>47</v>
      </c>
      <c r="F22" s="5" t="s">
        <v>48</v>
      </c>
      <c r="G22" s="5" t="s">
        <v>45</v>
      </c>
      <c r="H22" s="5" t="s">
        <v>46</v>
      </c>
      <c r="I22" s="5" t="s">
        <v>47</v>
      </c>
      <c r="J22" s="5" t="s">
        <v>48</v>
      </c>
      <c r="K22" s="5" t="s">
        <v>45</v>
      </c>
      <c r="L22" s="5" t="s">
        <v>46</v>
      </c>
      <c r="M22" s="5" t="s">
        <v>47</v>
      </c>
      <c r="N22" s="5" t="s">
        <v>48</v>
      </c>
      <c r="O22" s="5" t="s">
        <v>45</v>
      </c>
      <c r="P22" s="5" t="s">
        <v>46</v>
      </c>
    </row>
    <row r="23" spans="1:16" x14ac:dyDescent="0.2">
      <c r="A23" s="1">
        <v>10</v>
      </c>
      <c r="B23" s="1" t="str">
        <f>_xll.KeyName($A$21,A23)</f>
        <v>Revenues</v>
      </c>
      <c r="C23" s="33">
        <f>IFERROR(_xll.KeyLookup($A$21,C$21,C$22,$A23)/$B$3,"-")</f>
        <v>157.69800000000001</v>
      </c>
      <c r="D23" s="33">
        <f>IFERROR(_xll.KeyLookup($A$21,D$21,D$22,$A23)/$B$3,"-")</f>
        <v>234.39500000000001</v>
      </c>
      <c r="E23" s="33">
        <f>IFERROR(_xll.KeyLookup($A$21,E$21,E$22,$A23)/$B$3,"-")</f>
        <v>317.351</v>
      </c>
      <c r="F23" s="33">
        <f>IFERROR(_xll.KeyLookup($A$21,F$21,F$22,$A23)/$B$3,"-")</f>
        <v>189.422</v>
      </c>
      <c r="G23" s="33">
        <f>IFERROR(_xll.KeyLookup($A$21,G$21,G$22,$A23)/$B$3,"-")</f>
        <v>173.04499999999999</v>
      </c>
      <c r="H23" s="33">
        <f>IFERROR(_xll.KeyLookup($A$21,H$21,H$22,$A23)/$B$3,"-")</f>
        <v>265.60000000000002</v>
      </c>
      <c r="I23" s="33">
        <f>IFERROR(_xll.KeyLookup($A$21,I$21,I$22,$A23)/$B$3,"-")</f>
        <v>371.66199999999998</v>
      </c>
      <c r="J23" s="33">
        <f>IFERROR(_xll.KeyLookup($A$21,J$21,J$22,$A23)/$B$3,"-")</f>
        <v>212.65</v>
      </c>
      <c r="K23" s="33">
        <f>IFERROR(_xll.KeyLookup($A$21,K$21,K$22,$A23)/$B$3,"-")</f>
        <v>191.27699999999999</v>
      </c>
      <c r="L23" s="33">
        <f>IFERROR(_xll.KeyLookup($A$21,L$21,L$22,$A23)/$B$3,"-")</f>
        <v>297.79300000000001</v>
      </c>
      <c r="M23" s="33">
        <f>IFERROR(_xll.KeyLookup($A$21,M$21,M$22,$A23)/$B$3,"-")</f>
        <v>418.74599999999998</v>
      </c>
      <c r="N23" s="33">
        <f>IFERROR(_xll.KeyLookup($A$21,N$21,N$22,$A23)/$B$3,"-")</f>
        <v>205.48099999999999</v>
      </c>
      <c r="O23" s="33">
        <f>IFERROR(_xll.KeyLookup($A$21,O$21,O$22,$A23)/$B$3,"-")</f>
        <v>186.07499999999999</v>
      </c>
      <c r="P23" s="33">
        <f>IFERROR(_xll.KeyLookup($A$21,P$21,P$22,$A23)/$B$3,"-")</f>
        <v>294.21199999999999</v>
      </c>
    </row>
    <row r="24" spans="1:16" outlineLevel="1" x14ac:dyDescent="0.2">
      <c r="B24" s="29" t="s">
        <v>43</v>
      </c>
      <c r="C24" s="34" t="str">
        <f t="shared" ref="C24:F24" si="30">IFERROR(C23/B23-1,"-")</f>
        <v>-</v>
      </c>
      <c r="D24" s="34">
        <f t="shared" si="30"/>
        <v>0.48635366333117735</v>
      </c>
      <c r="E24" s="34">
        <f t="shared" si="30"/>
        <v>0.35391539921926651</v>
      </c>
      <c r="F24" s="34">
        <f t="shared" si="30"/>
        <v>-0.4031151627062779</v>
      </c>
      <c r="G24" s="34">
        <f>IFERROR(G23/F23-1,"-")</f>
        <v>-8.6457750419697832E-2</v>
      </c>
      <c r="H24" s="34">
        <f t="shared" ref="H24:N24" si="31">IFERROR(H23/G23-1,"-")</f>
        <v>0.53486087433904506</v>
      </c>
      <c r="I24" s="34">
        <f t="shared" si="31"/>
        <v>0.3993298192771082</v>
      </c>
      <c r="J24" s="34">
        <f t="shared" si="31"/>
        <v>-0.42784034956492722</v>
      </c>
      <c r="K24" s="34">
        <f t="shared" si="31"/>
        <v>-0.10050787679285222</v>
      </c>
      <c r="L24" s="34">
        <f t="shared" si="31"/>
        <v>0.55686778859977948</v>
      </c>
      <c r="M24" s="34">
        <f t="shared" si="31"/>
        <v>0.40616468486499002</v>
      </c>
      <c r="N24" s="34">
        <f t="shared" si="31"/>
        <v>-0.50929441714070101</v>
      </c>
      <c r="O24" s="34">
        <f>IFERROR(O23/N23-1,"-")</f>
        <v>-9.4441821871608544E-2</v>
      </c>
      <c r="P24" s="34">
        <f>IFERROR(P23/O23-1,"-")</f>
        <v>0.58114738680639522</v>
      </c>
    </row>
    <row r="25" spans="1:16" outlineLevel="1" x14ac:dyDescent="0.2">
      <c r="B25" s="29" t="s">
        <v>44</v>
      </c>
      <c r="C25" s="34" t="str">
        <f>IFERROR(C23/#REF!-1,"-")</f>
        <v>-</v>
      </c>
      <c r="D25" s="34" t="str">
        <f>IFERROR(D23/#REF!-1,"-")</f>
        <v>-</v>
      </c>
      <c r="E25" s="34">
        <f t="shared" ref="E25:F25" si="32">IFERROR(E23/A23-1,"-")</f>
        <v>30.735099999999999</v>
      </c>
      <c r="F25" s="34" t="str">
        <f t="shared" si="32"/>
        <v>-</v>
      </c>
      <c r="G25" s="34">
        <f>IFERROR(G23/C23-1,"-")</f>
        <v>9.7318926048522991E-2</v>
      </c>
      <c r="H25" s="34">
        <f t="shared" ref="H25:P25" si="33">IFERROR(H23/D23-1,"-")</f>
        <v>0.13312997290897854</v>
      </c>
      <c r="I25" s="34">
        <f t="shared" si="33"/>
        <v>0.17113858157056372</v>
      </c>
      <c r="J25" s="34">
        <f t="shared" si="33"/>
        <v>0.12262567178046901</v>
      </c>
      <c r="K25" s="34">
        <f t="shared" si="33"/>
        <v>0.1053598774885145</v>
      </c>
      <c r="L25" s="34">
        <f t="shared" si="33"/>
        <v>0.12120858433734938</v>
      </c>
      <c r="M25" s="34">
        <f t="shared" si="33"/>
        <v>0.12668499873541017</v>
      </c>
      <c r="N25" s="34">
        <f t="shared" si="33"/>
        <v>-3.3712673407006899E-2</v>
      </c>
      <c r="O25" s="34">
        <f t="shared" si="33"/>
        <v>-2.7196160542041103E-2</v>
      </c>
      <c r="P25" s="34">
        <f t="shared" si="33"/>
        <v>-1.2025131551111068E-2</v>
      </c>
    </row>
    <row r="26" spans="1:16" x14ac:dyDescent="0.2">
      <c r="A26" s="1">
        <v>102</v>
      </c>
      <c r="B26" s="1" t="str">
        <f>_xll.KeyName($A$21,A26)</f>
        <v>Transport revenue</v>
      </c>
      <c r="C26" s="33">
        <f>IFERROR(_xll.KeyLookup($A$21,C$21,C$22,$A26)/$B$3,"-")</f>
        <v>90.694000000000003</v>
      </c>
      <c r="D26" s="33">
        <f>IFERROR(_xll.KeyLookup($A$21,D$21,D$22,$A26)/$B$3,"-")</f>
        <v>161.29499999999999</v>
      </c>
      <c r="E26" s="33">
        <f>IFERROR(_xll.KeyLookup($A$21,E$21,E$22,$A26)/$B$3,"-")</f>
        <v>228.85300000000001</v>
      </c>
      <c r="F26" s="33">
        <f>IFERROR(_xll.KeyLookup($A$21,F$21,F$22,$A26)/$B$3,"-")</f>
        <v>123.657</v>
      </c>
      <c r="G26" s="33">
        <f>IFERROR(_xll.KeyLookup($A$21,G$21,G$22,$A26)/$B$3,"-")</f>
        <v>110.06699999999999</v>
      </c>
      <c r="H26" s="33">
        <f>IFERROR(_xll.KeyLookup($A$21,H$21,H$22,$A26)/$B$3,"-")</f>
        <v>188.17</v>
      </c>
      <c r="I26" s="33">
        <f>IFERROR(_xll.KeyLookup($A$21,I$21,I$22,$A26)/$B$3,"-")</f>
        <v>264.43</v>
      </c>
      <c r="J26" s="33">
        <f>IFERROR(_xll.KeyLookup($A$21,J$21,J$22,$A26)/$B$3,"-")</f>
        <v>140.215</v>
      </c>
      <c r="K26" s="33">
        <f>IFERROR(_xll.KeyLookup($A$21,K$21,K$22,$A26)/$B$3,"-")</f>
        <v>121.58</v>
      </c>
      <c r="L26" s="33">
        <f>IFERROR(_xll.KeyLookup($A$21,L$21,L$22,$A26)/$B$3,"-")</f>
        <v>219.91800000000001</v>
      </c>
      <c r="M26" s="33">
        <f>IFERROR(_xll.KeyLookup($A$21,M$21,M$22,$A26)/$B$3,"-")</f>
        <v>320.77499999999998</v>
      </c>
      <c r="N26" s="33">
        <f>IFERROR(_xll.KeyLookup($A$21,N$21,N$22,$A26)/$B$3,"-")</f>
        <v>148.72900000000001</v>
      </c>
      <c r="O26" s="33">
        <f>IFERROR(_xll.KeyLookup($A$21,O$21,O$22,$A26)/$B$3,"-")</f>
        <v>128.339</v>
      </c>
      <c r="P26" s="33">
        <f>IFERROR(_xll.KeyLookup($A$21,P$21,P$22,$A26)/$B$3,"-")</f>
        <v>224.41499999999999</v>
      </c>
    </row>
    <row r="27" spans="1:16" hidden="1" outlineLevel="1" x14ac:dyDescent="0.2">
      <c r="A27" s="1">
        <v>10201</v>
      </c>
      <c r="B27" s="1" t="str">
        <f>_xll.KeyName($A$21,A27)</f>
        <v>Passengers</v>
      </c>
      <c r="C27" s="33">
        <f>IFERROR(_xll.KeyLookup($A$21,C$21,C$22,$A27)/$B$3,"-")</f>
        <v>80.704999999999998</v>
      </c>
      <c r="D27" s="33">
        <f>IFERROR(_xll.KeyLookup($A$21,D$21,D$22,$A27)/$B$3,"-")</f>
        <v>151.643</v>
      </c>
      <c r="E27" s="33">
        <f>IFERROR(_xll.KeyLookup($A$21,E$21,E$22,$A27)/$B$3,"-")</f>
        <v>219.28700000000001</v>
      </c>
      <c r="F27" s="33">
        <f>IFERROR(_xll.KeyLookup($A$21,F$21,F$22,$A27)/$B$3,"-")</f>
        <v>113.251</v>
      </c>
      <c r="G27" s="33">
        <f>IFERROR(_xll.KeyLookup($A$21,G$21,G$22,$A27)/$B$3,"-")</f>
        <v>99.975999999999999</v>
      </c>
      <c r="H27" s="33">
        <f>IFERROR(_xll.KeyLookup($A$21,H$21,H$22,$A27)/$B$3,"-")</f>
        <v>177.27699999999999</v>
      </c>
      <c r="I27" s="33">
        <f>IFERROR(_xll.KeyLookup($A$21,I$21,I$22,$A27)/$B$3,"-")</f>
        <v>254.08500000000001</v>
      </c>
      <c r="J27" s="33">
        <f>IFERROR(_xll.KeyLookup($A$21,J$21,J$22,$A27)/$B$3,"-")</f>
        <v>128.654</v>
      </c>
      <c r="K27" s="33">
        <f>IFERROR(_xll.KeyLookup($A$21,K$21,K$22,$A27)/$B$3,"-")</f>
        <v>110.392</v>
      </c>
      <c r="L27" s="33">
        <f>IFERROR(_xll.KeyLookup($A$21,L$21,L$22,$A27)/$B$3,"-")</f>
        <v>208.614</v>
      </c>
      <c r="M27" s="33">
        <f>IFERROR(_xll.KeyLookup($A$21,M$21,M$22,$A27)/$B$3,"-")</f>
        <v>309.75799999999998</v>
      </c>
      <c r="N27" s="33">
        <f>IFERROR(_xll.KeyLookup($A$21,N$21,N$22,$A27)/$B$3,"-")</f>
        <v>137.86000000000001</v>
      </c>
      <c r="O27" s="33">
        <f>IFERROR(_xll.KeyLookup($A$21,O$21,O$22,$A27)/$B$3,"-")</f>
        <v>118.157</v>
      </c>
      <c r="P27" s="33">
        <f>IFERROR(_xll.KeyLookup($A$21,P$21,P$22,$A27)/$B$3,"-")</f>
        <v>214.24</v>
      </c>
    </row>
    <row r="28" spans="1:16" hidden="1" outlineLevel="1" x14ac:dyDescent="0.2">
      <c r="A28" s="1">
        <v>10202</v>
      </c>
      <c r="B28" s="1" t="str">
        <f>_xll.KeyName($A$21,A28)</f>
        <v>Cargo and mail</v>
      </c>
      <c r="C28" s="33">
        <f>IFERROR(_xll.KeyLookup($A$21,C$21,C$22,$A28)/$B$3,"-")</f>
        <v>9.9890000000000008</v>
      </c>
      <c r="D28" s="33">
        <f>IFERROR(_xll.KeyLookup($A$21,D$21,D$22,$A28)/$B$3,"-")</f>
        <v>9.6519999999999992</v>
      </c>
      <c r="E28" s="33">
        <f>IFERROR(_xll.KeyLookup($A$21,E$21,E$22,$A28)/$B$3,"-")</f>
        <v>9.5660000000000007</v>
      </c>
      <c r="F28" s="33">
        <f>IFERROR(_xll.KeyLookup($A$21,F$21,F$22,$A28)/$B$3,"-")</f>
        <v>10.406000000000001</v>
      </c>
      <c r="G28" s="33">
        <f>IFERROR(_xll.KeyLookup($A$21,G$21,G$22,$A28)/$B$3,"-")</f>
        <v>10.090999999999999</v>
      </c>
      <c r="H28" s="33">
        <f>IFERROR(_xll.KeyLookup($A$21,H$21,H$22,$A28)/$B$3,"-")</f>
        <v>10.893000000000001</v>
      </c>
      <c r="I28" s="33">
        <f>IFERROR(_xll.KeyLookup($A$21,I$21,I$22,$A28)/$B$3,"-")</f>
        <v>10.345000000000001</v>
      </c>
      <c r="J28" s="33">
        <f>IFERROR(_xll.KeyLookup($A$21,J$21,J$22,$A28)/$B$3,"-")</f>
        <v>11.561</v>
      </c>
      <c r="K28" s="33">
        <f>IFERROR(_xll.KeyLookup($A$21,K$21,K$22,$A28)/$B$3,"-")</f>
        <v>11.188000000000001</v>
      </c>
      <c r="L28" s="33">
        <f>IFERROR(_xll.KeyLookup($A$21,L$21,L$22,$A28)/$B$3,"-")</f>
        <v>11.304</v>
      </c>
      <c r="M28" s="33">
        <f>IFERROR(_xll.KeyLookup($A$21,M$21,M$22,$A28)/$B$3,"-")</f>
        <v>11.016999999999999</v>
      </c>
      <c r="N28" s="33">
        <f>IFERROR(_xll.KeyLookup($A$21,N$21,N$22,$A28)/$B$3,"-")</f>
        <v>10.869</v>
      </c>
      <c r="O28" s="33">
        <f>IFERROR(_xll.KeyLookup($A$21,O$21,O$22,$A28)/$B$3,"-")</f>
        <v>10.182</v>
      </c>
      <c r="P28" s="33">
        <f>IFERROR(_xll.KeyLookup($A$21,P$21,P$22,$A28)/$B$3,"-")</f>
        <v>10.175000000000001</v>
      </c>
    </row>
    <row r="29" spans="1:16" collapsed="1" x14ac:dyDescent="0.2">
      <c r="A29" s="1">
        <v>103</v>
      </c>
      <c r="B29" s="1" t="str">
        <f>_xll.KeyName($A$21,A29)</f>
        <v>Aircraft and aircrew lease</v>
      </c>
      <c r="C29" s="33">
        <f>IFERROR(_xll.KeyLookup($A$21,C$21,C$22,$A29)/$B$3,"-")</f>
        <v>30.411000000000001</v>
      </c>
      <c r="D29" s="33">
        <f>IFERROR(_xll.KeyLookup($A$21,D$21,D$22,$A29)/$B$3,"-")</f>
        <v>29.106000000000002</v>
      </c>
      <c r="E29" s="33">
        <f>IFERROR(_xll.KeyLookup($A$21,E$21,E$22,$A29)/$B$3,"-")</f>
        <v>31.14</v>
      </c>
      <c r="F29" s="33">
        <f>IFERROR(_xll.KeyLookup($A$21,F$21,F$22,$A29)/$B$3,"-")</f>
        <v>30.158000000000001</v>
      </c>
      <c r="G29" s="33">
        <f>IFERROR(_xll.KeyLookup($A$21,G$21,G$22,$A29)/$B$3,"-")</f>
        <v>28.352</v>
      </c>
      <c r="H29" s="33">
        <f>IFERROR(_xll.KeyLookup($A$21,H$21,H$22,$A29)/$B$3,"-")</f>
        <v>29.562999999999999</v>
      </c>
      <c r="I29" s="33">
        <f>IFERROR(_xll.KeyLookup($A$21,I$21,I$22,$A29)/$B$3,"-")</f>
        <v>28.829000000000001</v>
      </c>
      <c r="J29" s="33">
        <f>IFERROR(_xll.KeyLookup($A$21,J$21,J$22,$A29)/$B$3,"-")</f>
        <v>31.225000000000001</v>
      </c>
      <c r="K29" s="33">
        <f>IFERROR(_xll.KeyLookup($A$21,K$21,K$22,$A29)/$B$3,"-")</f>
        <v>21.960999999999999</v>
      </c>
      <c r="L29" s="33">
        <f>IFERROR(_xll.KeyLookup($A$21,L$21,L$22,$A29)/$B$3,"-")</f>
        <v>16.539000000000001</v>
      </c>
      <c r="M29" s="33">
        <f>IFERROR(_xll.KeyLookup($A$21,M$21,M$22,$A29)/$B$3,"-")</f>
        <v>17.059999999999999</v>
      </c>
      <c r="N29" s="33">
        <f>IFERROR(_xll.KeyLookup($A$21,N$21,N$22,$A29)/$B$3,"-")</f>
        <v>19.193999999999999</v>
      </c>
      <c r="O29" s="33">
        <f>IFERROR(_xll.KeyLookup($A$21,O$21,O$22,$A29)/$B$3,"-")</f>
        <v>20.178999999999998</v>
      </c>
      <c r="P29" s="33">
        <f>IFERROR(_xll.KeyLookup($A$21,P$21,P$22,$A29)/$B$3,"-")</f>
        <v>18.265999999999998</v>
      </c>
    </row>
    <row r="30" spans="1:16" hidden="1" outlineLevel="1" x14ac:dyDescent="0.2">
      <c r="A30" s="1">
        <v>10301</v>
      </c>
      <c r="B30" s="1" t="str">
        <f>_xll.KeyName($A$21,A30)</f>
        <v>Aircraft and aircrew lease</v>
      </c>
      <c r="C30" s="33">
        <f>IFERROR(_xll.KeyLookup($A$21,C$21,C$22,$A30)/$B$3,"-")</f>
        <v>30.411000000000001</v>
      </c>
      <c r="D30" s="33">
        <f>IFERROR(_xll.KeyLookup($A$21,D$21,D$22,$A30)/$B$3,"-")</f>
        <v>29.106000000000002</v>
      </c>
      <c r="E30" s="33">
        <f>IFERROR(_xll.KeyLookup($A$21,E$21,E$22,$A30)/$B$3,"-")</f>
        <v>31.14</v>
      </c>
      <c r="F30" s="33">
        <f>IFERROR(_xll.KeyLookup($A$21,F$21,F$22,$A30)/$B$3,"-")</f>
        <v>30.158000000000001</v>
      </c>
      <c r="G30" s="33">
        <f>IFERROR(_xll.KeyLookup($A$21,G$21,G$22,$A30)/$B$3,"-")</f>
        <v>28.352</v>
      </c>
      <c r="H30" s="33">
        <f>IFERROR(_xll.KeyLookup($A$21,H$21,H$22,$A30)/$B$3,"-")</f>
        <v>29.562999999999999</v>
      </c>
      <c r="I30" s="33">
        <f>IFERROR(_xll.KeyLookup($A$21,I$21,I$22,$A30)/$B$3,"-")</f>
        <v>28.829000000000001</v>
      </c>
      <c r="J30" s="33">
        <f>IFERROR(_xll.KeyLookup($A$21,J$21,J$22,$A30)/$B$3,"-")</f>
        <v>31.225000000000001</v>
      </c>
      <c r="K30" s="33">
        <f>IFERROR(_xll.KeyLookup($A$21,K$21,K$22,$A30)/$B$3,"-")</f>
        <v>21.960999999999999</v>
      </c>
      <c r="L30" s="33">
        <f>IFERROR(_xll.KeyLookup($A$21,L$21,L$22,$A30)/$B$3,"-")</f>
        <v>16.539000000000001</v>
      </c>
      <c r="M30" s="33">
        <f>IFERROR(_xll.KeyLookup($A$21,M$21,M$22,$A30)/$B$3,"-")</f>
        <v>17.059999999999999</v>
      </c>
      <c r="N30" s="33">
        <f>IFERROR(_xll.KeyLookup($A$21,N$21,N$22,$A30)/$B$3,"-")</f>
        <v>19.193999999999999</v>
      </c>
      <c r="O30" s="33">
        <f>IFERROR(_xll.KeyLookup($A$21,O$21,O$22,$A30)/$B$3,"-")</f>
        <v>20.178999999999998</v>
      </c>
      <c r="P30" s="33">
        <f>IFERROR(_xll.KeyLookup($A$21,P$21,P$22,$A30)/$B$3,"-")</f>
        <v>18.265999999999998</v>
      </c>
    </row>
    <row r="31" spans="1:16" collapsed="1" x14ac:dyDescent="0.2">
      <c r="A31" s="1">
        <v>104</v>
      </c>
      <c r="B31" s="1" t="str">
        <f>_xll.KeyName($A$21,A31)</f>
        <v>Other operating revenue</v>
      </c>
      <c r="C31" s="33">
        <f>IFERROR(_xll.KeyLookup($A$21,C$21,C$22,$A31)/$B$3,"-")</f>
        <v>36.593000000000004</v>
      </c>
      <c r="D31" s="33">
        <f>IFERROR(_xll.KeyLookup($A$21,D$21,D$22,$A31)/$B$3,"-")</f>
        <v>43.994</v>
      </c>
      <c r="E31" s="33">
        <f>IFERROR(_xll.KeyLookup($A$21,E$21,E$22,$A31)/$B$3,"-")</f>
        <v>57.357999999999997</v>
      </c>
      <c r="F31" s="33">
        <f>IFERROR(_xll.KeyLookup($A$21,F$21,F$22,$A31)/$B$3,"-")</f>
        <v>35.606999999999999</v>
      </c>
      <c r="G31" s="33">
        <f>IFERROR(_xll.KeyLookup($A$21,G$21,G$22,$A31)/$B$3,"-")</f>
        <v>34.625999999999998</v>
      </c>
      <c r="H31" s="33">
        <f>IFERROR(_xll.KeyLookup($A$21,H$21,H$22,$A31)/$B$3,"-")</f>
        <v>47.866999999999997</v>
      </c>
      <c r="I31" s="33">
        <f>IFERROR(_xll.KeyLookup($A$21,I$21,I$22,$A31)/$B$3,"-")</f>
        <v>78.403000000000006</v>
      </c>
      <c r="J31" s="33">
        <f>IFERROR(_xll.KeyLookup($A$21,J$21,J$22,$A31)/$B$3,"-")</f>
        <v>41.21</v>
      </c>
      <c r="K31" s="33">
        <f>IFERROR(_xll.KeyLookup($A$21,K$21,K$22,$A31)/$B$3,"-")</f>
        <v>47.735999999999997</v>
      </c>
      <c r="L31" s="33">
        <f>IFERROR(_xll.KeyLookup($A$21,L$21,L$22,$A31)/$B$3,"-")</f>
        <v>61.335999999999999</v>
      </c>
      <c r="M31" s="33">
        <f>IFERROR(_xll.KeyLookup($A$21,M$21,M$22,$A31)/$B$3,"-")</f>
        <v>80.911000000000001</v>
      </c>
      <c r="N31" s="33">
        <f>IFERROR(_xll.KeyLookup($A$21,N$21,N$22,$A31)/$B$3,"-")</f>
        <v>37.558</v>
      </c>
      <c r="O31" s="33">
        <f>IFERROR(_xll.KeyLookup($A$21,O$21,O$22,$A31)/$B$3,"-")</f>
        <v>37.557000000000002</v>
      </c>
      <c r="P31" s="33">
        <f>IFERROR(_xll.KeyLookup($A$21,P$21,P$22,$A31)/$B$3,"-")</f>
        <v>51.530999999999999</v>
      </c>
    </row>
    <row r="32" spans="1:16" hidden="1" outlineLevel="1" x14ac:dyDescent="0.2">
      <c r="A32" s="1">
        <v>10401</v>
      </c>
      <c r="B32" s="1" t="str">
        <f>_xll.KeyName($A$21,A32)</f>
        <v>Sale at airports and hotels</v>
      </c>
      <c r="C32" s="33">
        <f>IFERROR(_xll.KeyLookup($A$21,C$21,C$22,$A32)/$B$3,"-")</f>
        <v>6.6609999999999996</v>
      </c>
      <c r="D32" s="33">
        <f>IFERROR(_xll.KeyLookup($A$21,D$21,D$22,$A32)/$B$3,"-")</f>
        <v>17.385999999999999</v>
      </c>
      <c r="E32" s="33">
        <f>IFERROR(_xll.KeyLookup($A$21,E$21,E$22,$A32)/$B$3,"-")</f>
        <v>20.379000000000001</v>
      </c>
      <c r="F32" s="33">
        <f>IFERROR(_xll.KeyLookup($A$21,F$21,F$22,$A32)/$B$3,"-")</f>
        <v>13.07</v>
      </c>
      <c r="G32" s="33">
        <f>IFERROR(_xll.KeyLookup($A$21,G$21,G$22,$A32)/$B$3,"-")</f>
        <v>7.827</v>
      </c>
      <c r="H32" s="33">
        <f>IFERROR(_xll.KeyLookup($A$21,H$21,H$22,$A32)/$B$3,"-")</f>
        <v>20.048999999999999</v>
      </c>
      <c r="I32" s="33">
        <f>IFERROR(_xll.KeyLookup($A$21,I$21,I$22,$A32)/$B$3,"-")</f>
        <v>23.893000000000001</v>
      </c>
      <c r="J32" s="33">
        <f>IFERROR(_xll.KeyLookup($A$21,J$21,J$22,$A32)/$B$3,"-")</f>
        <v>14.589</v>
      </c>
      <c r="K32" s="33">
        <f>IFERROR(_xll.KeyLookup($A$21,K$21,K$22,$A32)/$B$3,"-")</f>
        <v>9.2249999999999996</v>
      </c>
      <c r="L32" s="33">
        <f>IFERROR(_xll.KeyLookup($A$21,L$21,L$22,$A32)/$B$3,"-")</f>
        <v>25.234000000000002</v>
      </c>
      <c r="M32" s="33">
        <f>IFERROR(_xll.KeyLookup($A$21,M$21,M$22,$A32)/$B$3,"-")</f>
        <v>26.899000000000001</v>
      </c>
      <c r="N32" s="33">
        <f>IFERROR(_xll.KeyLookup($A$21,N$21,N$22,$A32)/$B$3,"-")</f>
        <v>15.936999999999999</v>
      </c>
      <c r="O32" s="33">
        <f>IFERROR(_xll.KeyLookup($A$21,O$21,O$22,$A32)/$B$3,"-")</f>
        <v>12.503</v>
      </c>
      <c r="P32" s="33">
        <f>IFERROR(_xll.KeyLookup($A$21,P$21,P$22,$A32)/$B$3,"-")</f>
        <v>17.431999999999999</v>
      </c>
    </row>
    <row r="33" spans="1:16" hidden="1" outlineLevel="1" x14ac:dyDescent="0.2">
      <c r="A33" s="1">
        <v>10402</v>
      </c>
      <c r="B33" s="1" t="str">
        <f>_xll.KeyName($A$21,A33)</f>
        <v>Revenue from tourism</v>
      </c>
      <c r="C33" s="33">
        <f>IFERROR(_xll.KeyLookup($A$21,C$21,C$22,$A33)/$B$3,"-")</f>
        <v>11.367000000000001</v>
      </c>
      <c r="D33" s="33">
        <f>IFERROR(_xll.KeyLookup($A$21,D$21,D$22,$A33)/$B$3,"-")</f>
        <v>15.608000000000001</v>
      </c>
      <c r="E33" s="33">
        <f>IFERROR(_xll.KeyLookup($A$21,E$21,E$22,$A33)/$B$3,"-")</f>
        <v>24.771000000000001</v>
      </c>
      <c r="F33" s="33">
        <f>IFERROR(_xll.KeyLookup($A$21,F$21,F$22,$A33)/$B$3,"-")</f>
        <v>9.4890000000000008</v>
      </c>
      <c r="G33" s="33">
        <f>IFERROR(_xll.KeyLookup($A$21,G$21,G$22,$A33)/$B$3,"-")</f>
        <v>11.727</v>
      </c>
      <c r="H33" s="33">
        <f>IFERROR(_xll.KeyLookup($A$21,H$21,H$22,$A33)/$B$3,"-")</f>
        <v>17.597999999999999</v>
      </c>
      <c r="I33" s="33">
        <f>IFERROR(_xll.KeyLookup($A$21,I$21,I$22,$A33)/$B$3,"-")</f>
        <v>32.558999999999997</v>
      </c>
      <c r="J33" s="33">
        <f>IFERROR(_xll.KeyLookup($A$21,J$21,J$22,$A33)/$B$3,"-")</f>
        <v>11.659000000000001</v>
      </c>
      <c r="K33" s="33">
        <f>IFERROR(_xll.KeyLookup($A$21,K$21,K$22,$A33)/$B$3,"-")</f>
        <v>13.303000000000001</v>
      </c>
      <c r="L33" s="33">
        <f>IFERROR(_xll.KeyLookup($A$21,L$21,L$22,$A33)/$B$3,"-")</f>
        <v>24.321999999999999</v>
      </c>
      <c r="M33" s="33">
        <f>IFERROR(_xll.KeyLookup($A$21,M$21,M$22,$A33)/$B$3,"-")</f>
        <v>39.326000000000001</v>
      </c>
      <c r="N33" s="33">
        <f>IFERROR(_xll.KeyLookup($A$21,N$21,N$22,$A33)/$B$3,"-")</f>
        <v>10.134</v>
      </c>
      <c r="O33" s="33">
        <f>IFERROR(_xll.KeyLookup($A$21,O$21,O$22,$A33)/$B$3,"-")</f>
        <v>14.201000000000001</v>
      </c>
      <c r="P33" s="33">
        <f>IFERROR(_xll.KeyLookup($A$21,P$21,P$22,$A33)/$B$3,"-")</f>
        <v>22.23</v>
      </c>
    </row>
    <row r="34" spans="1:16" hidden="1" outlineLevel="1" x14ac:dyDescent="0.2">
      <c r="A34" s="1">
        <v>10403</v>
      </c>
      <c r="B34" s="1" t="str">
        <f>_xll.KeyName($A$21,A34)</f>
        <v>Aircraft and cardgo handling services</v>
      </c>
      <c r="C34" s="33">
        <f>IFERROR(_xll.KeyLookup($A$21,C$21,C$22,$A34)/$B$3,"-")</f>
        <v>6.4580000000000002</v>
      </c>
      <c r="D34" s="33">
        <f>IFERROR(_xll.KeyLookup($A$21,D$21,D$22,$A34)/$B$3,"-")</f>
        <v>8.3330000000000002</v>
      </c>
      <c r="E34" s="33">
        <f>IFERROR(_xll.KeyLookup($A$21,E$21,E$22,$A34)/$B$3,"-")</f>
        <v>7.6559999999999997</v>
      </c>
      <c r="F34" s="33">
        <f>IFERROR(_xll.KeyLookup($A$21,F$21,F$22,$A34)/$B$3,"-")</f>
        <v>4.0869999999999997</v>
      </c>
      <c r="G34" s="33">
        <f>IFERROR(_xll.KeyLookup($A$21,G$21,G$22,$A34)/$B$3,"-")</f>
        <v>7.4130000000000003</v>
      </c>
      <c r="H34" s="33">
        <f>IFERROR(_xll.KeyLookup($A$21,H$21,H$22,$A34)/$B$3,"-")</f>
        <v>8.2710000000000008</v>
      </c>
      <c r="I34" s="33">
        <f>IFERROR(_xll.KeyLookup($A$21,I$21,I$22,$A34)/$B$3,"-")</f>
        <v>8.2460000000000004</v>
      </c>
      <c r="J34" s="33">
        <f>IFERROR(_xll.KeyLookup($A$21,J$21,J$22,$A34)/$B$3,"-")</f>
        <v>4.7699999999999996</v>
      </c>
      <c r="K34" s="33">
        <f>IFERROR(_xll.KeyLookup($A$21,K$21,K$22,$A34)/$B$3,"-")</f>
        <v>8.1319999999999997</v>
      </c>
      <c r="L34" s="33">
        <f>IFERROR(_xll.KeyLookup($A$21,L$21,L$22,$A34)/$B$3,"-")</f>
        <v>8.7669999999999995</v>
      </c>
      <c r="M34" s="33">
        <f>IFERROR(_xll.KeyLookup($A$21,M$21,M$22,$A34)/$B$3,"-")</f>
        <v>8.7569999999999997</v>
      </c>
      <c r="N34" s="33">
        <f>IFERROR(_xll.KeyLookup($A$21,N$21,N$22,$A34)/$B$3,"-")</f>
        <v>7.5529999999999999</v>
      </c>
      <c r="O34" s="33">
        <f>IFERROR(_xll.KeyLookup($A$21,O$21,O$22,$A34)/$B$3,"-")</f>
        <v>6.5350000000000001</v>
      </c>
      <c r="P34" s="33">
        <f>IFERROR(_xll.KeyLookup($A$21,P$21,P$22,$A34)/$B$3,"-")</f>
        <v>7.1139999999999999</v>
      </c>
    </row>
    <row r="35" spans="1:16" hidden="1" outlineLevel="1" x14ac:dyDescent="0.2">
      <c r="A35" s="1">
        <v>10404</v>
      </c>
      <c r="B35" s="1" t="str">
        <f>_xll.KeyName($A$21,A35)</f>
        <v>Maintenance and aircraft handling</v>
      </c>
      <c r="C35" s="33">
        <f>IFERROR(_xll.KeyLookup($A$21,C$21,C$22,$A35)/$B$3,"-")</f>
        <v>3.6280000000000001</v>
      </c>
      <c r="D35" s="33">
        <f>IFERROR(_xll.KeyLookup($A$21,D$21,D$22,$A35)/$B$3,"-")</f>
        <v>0.84199999999999997</v>
      </c>
      <c r="E35" s="33">
        <f>IFERROR(_xll.KeyLookup($A$21,E$21,E$22,$A35)/$B$3,"-")</f>
        <v>1.6419999999999999</v>
      </c>
      <c r="F35" s="33">
        <f>IFERROR(_xll.KeyLookup($A$21,F$21,F$22,$A35)/$B$3,"-")</f>
        <v>5.3040000000000003</v>
      </c>
      <c r="G35" s="33">
        <f>IFERROR(_xll.KeyLookup($A$21,G$21,G$22,$A35)/$B$3,"-")</f>
        <v>1.2889999999999999</v>
      </c>
      <c r="H35" s="33">
        <f>IFERROR(_xll.KeyLookup($A$21,H$21,H$22,$A35)/$B$3,"-")</f>
        <v>1.327</v>
      </c>
      <c r="I35" s="33">
        <f>IFERROR(_xll.KeyLookup($A$21,I$21,I$22,$A35)/$B$3,"-")</f>
        <v>9.7289999999999992</v>
      </c>
      <c r="J35" s="33">
        <f>IFERROR(_xll.KeyLookup($A$21,J$21,J$22,$A35)/$B$3,"-")</f>
        <v>5.8620000000000001</v>
      </c>
      <c r="K35" s="33">
        <f>IFERROR(_xll.KeyLookup($A$21,K$21,K$22,$A35)/$B$3,"-")</f>
        <v>9.141</v>
      </c>
      <c r="L35" s="33">
        <f>IFERROR(_xll.KeyLookup($A$21,L$21,L$22,$A35)/$B$3,"-")</f>
        <v>3.42</v>
      </c>
      <c r="M35" s="33">
        <f>IFERROR(_xll.KeyLookup($A$21,M$21,M$22,$A35)/$B$3,"-")</f>
        <v>1.8919999999999999</v>
      </c>
      <c r="N35" s="33">
        <f>IFERROR(_xll.KeyLookup($A$21,N$21,N$22,$A35)/$B$3,"-")</f>
        <v>1.3129999999999999</v>
      </c>
      <c r="O35" s="33">
        <f>IFERROR(_xll.KeyLookup($A$21,O$21,O$22,$A35)/$B$3,"-")</f>
        <v>0.51600000000000001</v>
      </c>
      <c r="P35" s="33">
        <f>IFERROR(_xll.KeyLookup($A$21,P$21,P$22,$A35)/$B$3,"-")</f>
        <v>0.53300000000000003</v>
      </c>
    </row>
    <row r="36" spans="1:16" hidden="1" outlineLevel="1" x14ac:dyDescent="0.2">
      <c r="A36" s="1">
        <v>10405</v>
      </c>
      <c r="B36" s="1" t="str">
        <f>_xll.KeyName($A$21,A36)</f>
        <v>Gain on sale of operating assets</v>
      </c>
      <c r="C36" s="33">
        <f>IFERROR(_xll.KeyLookup($A$21,C$21,C$22,$A36)/$B$3,"-")</f>
        <v>2.5499999999999998</v>
      </c>
      <c r="D36" s="33">
        <f>IFERROR(_xll.KeyLookup($A$21,D$21,D$22,$A36)/$B$3,"-")</f>
        <v>0.183</v>
      </c>
      <c r="E36" s="33">
        <f>IFERROR(_xll.KeyLookup($A$21,E$21,E$22,$A36)/$B$3,"-")</f>
        <v>-0.21</v>
      </c>
      <c r="F36" s="33">
        <f>IFERROR(_xll.KeyLookup($A$21,F$21,F$22,$A36)/$B$3,"-")</f>
        <v>0.28199999999999997</v>
      </c>
      <c r="G36" s="33">
        <f>IFERROR(_xll.KeyLookup($A$21,G$21,G$22,$A36)/$B$3,"-")</f>
        <v>6.0999999999999999E-2</v>
      </c>
      <c r="H36" s="33">
        <f>IFERROR(_xll.KeyLookup($A$21,H$21,H$22,$A36)/$B$3,"-")</f>
        <v>-6.0999999999999999E-2</v>
      </c>
      <c r="I36" s="33">
        <f>IFERROR(_xll.KeyLookup($A$21,I$21,I$22,$A36)/$B$3,"-")</f>
        <v>0.28299999999999997</v>
      </c>
      <c r="J36" s="33">
        <f>IFERROR(_xll.KeyLookup($A$21,J$21,J$22,$A36)/$B$3,"-")</f>
        <v>0.81699999999999995</v>
      </c>
      <c r="K36" s="33">
        <f>IFERROR(_xll.KeyLookup($A$21,K$21,K$22,$A36)/$B$3,"-")</f>
        <v>6.9000000000000006E-2</v>
      </c>
      <c r="L36" s="33">
        <f>IFERROR(_xll.KeyLookup($A$21,L$21,L$22,$A36)/$B$3,"-")</f>
        <v>7.0000000000000007E-2</v>
      </c>
      <c r="M36" s="33">
        <f>IFERROR(_xll.KeyLookup($A$21,M$21,M$22,$A36)/$B$3,"-")</f>
        <v>7.4999999999999997E-2</v>
      </c>
      <c r="N36" s="33">
        <f>IFERROR(_xll.KeyLookup($A$21,N$21,N$22,$A36)/$B$3,"-")</f>
        <v>-0.01</v>
      </c>
      <c r="O36" s="33">
        <f>IFERROR(_xll.KeyLookup($A$21,O$21,O$22,$A36)/$B$3,"-")</f>
        <v>0.10299999999999999</v>
      </c>
      <c r="P36" s="33">
        <f>IFERROR(_xll.KeyLookup($A$21,P$21,P$22,$A36)/$B$3,"-")</f>
        <v>5.5E-2</v>
      </c>
    </row>
    <row r="37" spans="1:16" hidden="1" outlineLevel="1" x14ac:dyDescent="0.2">
      <c r="A37" s="1">
        <v>10406</v>
      </c>
      <c r="B37" s="1" t="str">
        <f>_xll.KeyName($A$21,A37)</f>
        <v>Other operating revenue</v>
      </c>
      <c r="C37" s="33">
        <f>IFERROR(_xll.KeyLookup($A$21,C$21,C$22,$A37)/$B$3,"-")</f>
        <v>5.9290000000000003</v>
      </c>
      <c r="D37" s="33">
        <f>IFERROR(_xll.KeyLookup($A$21,D$21,D$22,$A37)/$B$3,"-")</f>
        <v>1.6419999999999999</v>
      </c>
      <c r="E37" s="33">
        <f>IFERROR(_xll.KeyLookup($A$21,E$21,E$22,$A37)/$B$3,"-")</f>
        <v>3.12</v>
      </c>
      <c r="F37" s="33">
        <f>IFERROR(_xll.KeyLookup($A$21,F$21,F$22,$A37)/$B$3,"-")</f>
        <v>3.375</v>
      </c>
      <c r="G37" s="33">
        <f>IFERROR(_xll.KeyLookup($A$21,G$21,G$22,$A37)/$B$3,"-")</f>
        <v>6.3090000000000002</v>
      </c>
      <c r="H37" s="33">
        <f>IFERROR(_xll.KeyLookup($A$21,H$21,H$22,$A37)/$B$3,"-")</f>
        <v>0.68300000000000005</v>
      </c>
      <c r="I37" s="33">
        <f>IFERROR(_xll.KeyLookup($A$21,I$21,I$22,$A37)/$B$3,"-")</f>
        <v>3.6930000000000001</v>
      </c>
      <c r="J37" s="33">
        <f>IFERROR(_xll.KeyLookup($A$21,J$21,J$22,$A37)/$B$3,"-")</f>
        <v>3.5129999999999999</v>
      </c>
      <c r="K37" s="33">
        <f>IFERROR(_xll.KeyLookup($A$21,K$21,K$22,$A37)/$B$3,"-")</f>
        <v>7.8659999999999997</v>
      </c>
      <c r="L37" s="33">
        <f>IFERROR(_xll.KeyLookup($A$21,L$21,L$22,$A37)/$B$3,"-")</f>
        <v>-0.47699999999999998</v>
      </c>
      <c r="M37" s="33">
        <f>IFERROR(_xll.KeyLookup($A$21,M$21,M$22,$A37)/$B$3,"-")</f>
        <v>3.9620000000000002</v>
      </c>
      <c r="N37" s="33">
        <f>IFERROR(_xll.KeyLookup($A$21,N$21,N$22,$A37)/$B$3,"-")</f>
        <v>2.6309999999999998</v>
      </c>
      <c r="O37" s="33">
        <f>IFERROR(_xll.KeyLookup($A$21,O$21,O$22,$A37)/$B$3,"-")</f>
        <v>3.6989999999999998</v>
      </c>
      <c r="P37" s="33">
        <f>IFERROR(_xll.KeyLookup($A$21,P$21,P$22,$A37)/$B$3,"-")</f>
        <v>4.1669999999999998</v>
      </c>
    </row>
    <row r="38" spans="1:16" collapsed="1" x14ac:dyDescent="0.2">
      <c r="A38" s="20" t="s">
        <v>1</v>
      </c>
      <c r="B38" s="21" t="str">
        <f>_xll.KeyName($A$21,A38)</f>
        <v>Revenues</v>
      </c>
      <c r="C38" s="35">
        <f>IFERROR(_xll.KeyLookup($A$21,C$21,C$22,$A38)/$B$3,"-")</f>
        <v>157.69800000000001</v>
      </c>
      <c r="D38" s="35">
        <f>IFERROR(_xll.KeyLookup($A$21,D$21,D$22,$A38)/$B$3,"-")</f>
        <v>234.39500000000001</v>
      </c>
      <c r="E38" s="35">
        <f>IFERROR(_xll.KeyLookup($A$21,E$21,E$22,$A38)/$B$3,"-")</f>
        <v>317.351</v>
      </c>
      <c r="F38" s="35">
        <f>IFERROR(_xll.KeyLookup($A$21,F$21,F$22,$A38)/$B$3,"-")</f>
        <v>189.422</v>
      </c>
      <c r="G38" s="35">
        <f>IFERROR(_xll.KeyLookup($A$21,G$21,G$22,$A38)/$B$3,"-")</f>
        <v>173.04499999999999</v>
      </c>
      <c r="H38" s="35">
        <f>IFERROR(_xll.KeyLookup($A$21,H$21,H$22,$A38)/$B$3,"-")</f>
        <v>265.60000000000002</v>
      </c>
      <c r="I38" s="35">
        <f>IFERROR(_xll.KeyLookup($A$21,I$21,I$22,$A38)/$B$3,"-")</f>
        <v>371.66199999999998</v>
      </c>
      <c r="J38" s="35">
        <f>IFERROR(_xll.KeyLookup($A$21,J$21,J$22,$A38)/$B$3,"-")</f>
        <v>212.65</v>
      </c>
      <c r="K38" s="35">
        <f>IFERROR(_xll.KeyLookup($A$21,K$21,K$22,$A38)/$B$3,"-")</f>
        <v>191.27699999999999</v>
      </c>
      <c r="L38" s="35">
        <f>IFERROR(_xll.KeyLookup($A$21,L$21,L$22,$A38)/$B$3,"-")</f>
        <v>297.79300000000001</v>
      </c>
      <c r="M38" s="35">
        <f>IFERROR(_xll.KeyLookup($A$21,M$21,M$22,$A38)/$B$3,"-")</f>
        <v>418.74599999999998</v>
      </c>
      <c r="N38" s="35">
        <f>IFERROR(_xll.KeyLookup($A$21,N$21,N$22,$A38)/$B$3,"-")</f>
        <v>205.48099999999999</v>
      </c>
      <c r="O38" s="35">
        <f>IFERROR(_xll.KeyLookup($A$21,O$21,O$22,$A38)/$B$3,"-")</f>
        <v>186.07499999999999</v>
      </c>
      <c r="P38" s="35">
        <f>IFERROR(_xll.KeyLookup($A$21,P$21,P$22,$A38)/$B$3,"-")</f>
        <v>294.21199999999999</v>
      </c>
    </row>
    <row r="39" spans="1:16" x14ac:dyDescent="0.2">
      <c r="A39" s="1">
        <v>115</v>
      </c>
      <c r="B39" s="1" t="str">
        <f>_xll.KeyName($A$21,A39)</f>
        <v>Salaries and other personnel expenses</v>
      </c>
      <c r="C39" s="33">
        <f>IFERROR(_xll.KeyLookup($A$21,C$21,C$22,$A39)/$B$3,"-")</f>
        <v>-43.137</v>
      </c>
      <c r="D39" s="33">
        <f>IFERROR(_xll.KeyLookup($A$21,D$21,D$22,$A39)/$B$3,"-")</f>
        <v>-52.76</v>
      </c>
      <c r="E39" s="33">
        <f>IFERROR(_xll.KeyLookup($A$21,E$21,E$22,$A39)/$B$3,"-")</f>
        <v>-54.518000000000001</v>
      </c>
      <c r="F39" s="33">
        <f>IFERROR(_xll.KeyLookup($A$21,F$21,F$22,$A39)/$B$3,"-")</f>
        <v>-53.4</v>
      </c>
      <c r="G39" s="33">
        <f>IFERROR(_xll.KeyLookup($A$21,G$21,G$22,$A39)/$B$3,"-")</f>
        <v>-52.085999999999999</v>
      </c>
      <c r="H39" s="33">
        <f>IFERROR(_xll.KeyLookup($A$21,H$21,H$22,$A39)/$B$3,"-")</f>
        <v>-63.192999999999998</v>
      </c>
      <c r="I39" s="33">
        <f>IFERROR(_xll.KeyLookup($A$21,I$21,I$22,$A39)/$B$3,"-")</f>
        <v>-62.02</v>
      </c>
      <c r="J39" s="33">
        <f>IFERROR(_xll.KeyLookup($A$21,J$21,J$22,$A39)/$B$3,"-")</f>
        <v>-62.133000000000003</v>
      </c>
      <c r="K39" s="33">
        <f>IFERROR(_xll.KeyLookup($A$21,K$21,K$22,$A39)/$B$3,"-")</f>
        <v>-60.889000000000003</v>
      </c>
      <c r="L39" s="33">
        <f>IFERROR(_xll.KeyLookup($A$21,L$21,L$22,$A39)/$B$3,"-")</f>
        <v>-77.405000000000001</v>
      </c>
      <c r="M39" s="33">
        <f>IFERROR(_xll.KeyLookup($A$21,M$21,M$22,$A39)/$B$3,"-")</f>
        <v>-69.753</v>
      </c>
      <c r="N39" s="33">
        <f>IFERROR(_xll.KeyLookup($A$21,N$21,N$22,$A39)/$B$3,"-")</f>
        <v>-65.114000000000004</v>
      </c>
      <c r="O39" s="33">
        <f>IFERROR(_xll.KeyLookup($A$21,O$21,O$22,$A39)/$B$3,"-")</f>
        <v>-57.087000000000003</v>
      </c>
      <c r="P39" s="33">
        <f>IFERROR(_xll.KeyLookup($A$21,P$21,P$22,$A39)/$B$3,"-")</f>
        <v>-71.358999999999995</v>
      </c>
    </row>
    <row r="40" spans="1:16" hidden="1" outlineLevel="1" x14ac:dyDescent="0.2">
      <c r="A40" s="1">
        <v>11551</v>
      </c>
      <c r="B40" s="1" t="str">
        <f>_xll.KeyName($A$21,A40)</f>
        <v>Salaries and other personnel expenses</v>
      </c>
      <c r="C40" s="33">
        <f>IFERROR(_xll.KeyLookup($A$21,C$21,C$22,$A40)/$B$3,"-")</f>
        <v>-43.137</v>
      </c>
      <c r="D40" s="33">
        <f>IFERROR(_xll.KeyLookup($A$21,D$21,D$22,$A40)/$B$3,"-")</f>
        <v>-52.76</v>
      </c>
      <c r="E40" s="33">
        <f>IFERROR(_xll.KeyLookup($A$21,E$21,E$22,$A40)/$B$3,"-")</f>
        <v>-54.518000000000001</v>
      </c>
      <c r="F40" s="33">
        <f>IFERROR(_xll.KeyLookup($A$21,F$21,F$22,$A40)/$B$3,"-")</f>
        <v>-53.4</v>
      </c>
      <c r="G40" s="33">
        <f>IFERROR(_xll.KeyLookup($A$21,G$21,G$22,$A40)/$B$3,"-")</f>
        <v>-52.085999999999999</v>
      </c>
      <c r="H40" s="33">
        <f>IFERROR(_xll.KeyLookup($A$21,H$21,H$22,$A40)/$B$3,"-")</f>
        <v>-63.192999999999998</v>
      </c>
      <c r="I40" s="33">
        <f>IFERROR(_xll.KeyLookup($A$21,I$21,I$22,$A40)/$B$3,"-")</f>
        <v>-62.02</v>
      </c>
      <c r="J40" s="33">
        <f>IFERROR(_xll.KeyLookup($A$21,J$21,J$22,$A40)/$B$3,"-")</f>
        <v>-62.133000000000003</v>
      </c>
      <c r="K40" s="33">
        <f>IFERROR(_xll.KeyLookup($A$21,K$21,K$22,$A40)/$B$3,"-")</f>
        <v>-60.889000000000003</v>
      </c>
      <c r="L40" s="33">
        <f>IFERROR(_xll.KeyLookup($A$21,L$21,L$22,$A40)/$B$3,"-")</f>
        <v>-77.405000000000001</v>
      </c>
      <c r="M40" s="33">
        <f>IFERROR(_xll.KeyLookup($A$21,M$21,M$22,$A40)/$B$3,"-")</f>
        <v>-69.753</v>
      </c>
      <c r="N40" s="33">
        <f>IFERROR(_xll.KeyLookup($A$21,N$21,N$22,$A40)/$B$3,"-")</f>
        <v>-65.114000000000004</v>
      </c>
      <c r="O40" s="33">
        <f>IFERROR(_xll.KeyLookup($A$21,O$21,O$22,$A40)/$B$3,"-")</f>
        <v>-57.087000000000003</v>
      </c>
      <c r="P40" s="33">
        <f>IFERROR(_xll.KeyLookup($A$21,P$21,P$22,$A40)/$B$3,"-")</f>
        <v>-71.358999999999995</v>
      </c>
    </row>
    <row r="41" spans="1:16" collapsed="1" x14ac:dyDescent="0.2">
      <c r="A41" s="20" t="s">
        <v>5</v>
      </c>
      <c r="B41" s="21" t="str">
        <f>_xll.KeyName($A$21,A41)</f>
        <v>Gross Profit</v>
      </c>
      <c r="C41" s="35">
        <f>IFERROR(_xll.KeyLookup($A$21,C$21,C$22,$A41)/$B$3,"-")</f>
        <v>114.56100000000001</v>
      </c>
      <c r="D41" s="35">
        <f>IFERROR(_xll.KeyLookup($A$21,D$21,D$22,$A41)/$B$3,"-")</f>
        <v>181.63499999999999</v>
      </c>
      <c r="E41" s="35">
        <f>IFERROR(_xll.KeyLookup($A$21,E$21,E$22,$A41)/$B$3,"-")</f>
        <v>262.83300000000003</v>
      </c>
      <c r="F41" s="35">
        <f>IFERROR(_xll.KeyLookup($A$21,F$21,F$22,$A41)/$B$3,"-")</f>
        <v>136.02199999999999</v>
      </c>
      <c r="G41" s="35">
        <f>IFERROR(_xll.KeyLookup($A$21,G$21,G$22,$A41)/$B$3,"-")</f>
        <v>120.959</v>
      </c>
      <c r="H41" s="35">
        <f>IFERROR(_xll.KeyLookup($A$21,H$21,H$22,$A41)/$B$3,"-")</f>
        <v>202.40700000000001</v>
      </c>
      <c r="I41" s="35">
        <f>IFERROR(_xll.KeyLookup($A$21,I$21,I$22,$A41)/$B$3,"-")</f>
        <v>309.642</v>
      </c>
      <c r="J41" s="35">
        <f>IFERROR(_xll.KeyLookup($A$21,J$21,J$22,$A41)/$B$3,"-")</f>
        <v>150.517</v>
      </c>
      <c r="K41" s="35">
        <f>IFERROR(_xll.KeyLookup($A$21,K$21,K$22,$A41)/$B$3,"-")</f>
        <v>130.38800000000001</v>
      </c>
      <c r="L41" s="35">
        <f>IFERROR(_xll.KeyLookup($A$21,L$21,L$22,$A41)/$B$3,"-")</f>
        <v>220.38800000000001</v>
      </c>
      <c r="M41" s="35">
        <f>IFERROR(_xll.KeyLookup($A$21,M$21,M$22,$A41)/$B$3,"-")</f>
        <v>348.99299999999999</v>
      </c>
      <c r="N41" s="35">
        <f>IFERROR(_xll.KeyLookup($A$21,N$21,N$22,$A41)/$B$3,"-")</f>
        <v>140.36699999999999</v>
      </c>
      <c r="O41" s="35">
        <f>IFERROR(_xll.KeyLookup($A$21,O$21,O$22,$A41)/$B$3,"-")</f>
        <v>128.988</v>
      </c>
      <c r="P41" s="35">
        <f>IFERROR(_xll.KeyLookup($A$21,P$21,P$22,$A41)/$B$3,"-")</f>
        <v>222.85300000000001</v>
      </c>
    </row>
    <row r="42" spans="1:16" x14ac:dyDescent="0.2">
      <c r="A42" s="1">
        <v>12</v>
      </c>
      <c r="B42" s="1" t="str">
        <f>_xll.KeyName($A$21,A42)</f>
        <v>Other operating expenses/(income)</v>
      </c>
      <c r="C42" s="33">
        <f>IFERROR(_xll.KeyLookup($A$21,C$21,C$22,$A42)/$B$3,"-")</f>
        <v>-117.60899999999999</v>
      </c>
      <c r="D42" s="33">
        <f>IFERROR(_xll.KeyLookup($A$21,D$21,D$22,$A42)/$B$3,"-")</f>
        <v>-152.81700000000001</v>
      </c>
      <c r="E42" s="33">
        <f>IFERROR(_xll.KeyLookup($A$21,E$21,E$22,$A42)/$B$3,"-")</f>
        <v>-184.89400000000001</v>
      </c>
      <c r="F42" s="33">
        <f>IFERROR(_xll.KeyLookup($A$21,F$21,F$22,$A42)/$B$3,"-")</f>
        <v>-130.08500000000001</v>
      </c>
      <c r="G42" s="33">
        <f>IFERROR(_xll.KeyLookup($A$21,G$21,G$22,$A42)/$B$3,"-")</f>
        <v>-129.273</v>
      </c>
      <c r="H42" s="33">
        <f>IFERROR(_xll.KeyLookup($A$21,H$21,H$22,$A42)/$B$3,"-")</f>
        <v>-159.471</v>
      </c>
      <c r="I42" s="33">
        <f>IFERROR(_xll.KeyLookup($A$21,I$21,I$22,$A42)/$B$3,"-")</f>
        <v>-207.40100000000001</v>
      </c>
      <c r="J42" s="33">
        <f>IFERROR(_xll.KeyLookup($A$21,J$21,J$22,$A42)/$B$3,"-")</f>
        <v>-143.66999999999999</v>
      </c>
      <c r="K42" s="33">
        <f>IFERROR(_xll.KeyLookup($A$21,K$21,K$22,$A42)/$B$3,"-")</f>
        <v>-143.69200000000001</v>
      </c>
      <c r="L42" s="33">
        <f>IFERROR(_xll.KeyLookup($A$21,L$21,L$22,$A42)/$B$3,"-")</f>
        <v>-175.148</v>
      </c>
      <c r="M42" s="33">
        <f>IFERROR(_xll.KeyLookup($A$21,M$21,M$22,$A42)/$B$3,"-")</f>
        <v>-225.11</v>
      </c>
      <c r="N42" s="33">
        <f>IFERROR(_xll.KeyLookup($A$21,N$21,N$22,$A42)/$B$3,"-")</f>
        <v>-141.84800000000001</v>
      </c>
      <c r="O42" s="33">
        <f>IFERROR(_xll.KeyLookup($A$21,O$21,O$22,$A42)/$B$3,"-")</f>
        <v>-131.256</v>
      </c>
      <c r="P42" s="33">
        <f>IFERROR(_xll.KeyLookup($A$21,P$21,P$22,$A42)/$B$3,"-")</f>
        <v>-172.58799999999999</v>
      </c>
    </row>
    <row r="43" spans="1:16" hidden="1" outlineLevel="1" x14ac:dyDescent="0.2">
      <c r="A43" s="1">
        <v>12271</v>
      </c>
      <c r="B43" s="1" t="str">
        <f>_xll.KeyName($A$21,A43)</f>
        <v>Aircraft fuel</v>
      </c>
      <c r="C43" s="33">
        <f>IFERROR(_xll.KeyLookup($A$21,C$21,C$22,$A43)/$B$3,"-")</f>
        <v>-38.067</v>
      </c>
      <c r="D43" s="33">
        <f>IFERROR(_xll.KeyLookup($A$21,D$21,D$22,$A43)/$B$3,"-")</f>
        <v>-58.692999999999998</v>
      </c>
      <c r="E43" s="33">
        <f>IFERROR(_xll.KeyLookup($A$21,E$21,E$22,$A43)/$B$3,"-")</f>
        <v>-73.617000000000004</v>
      </c>
      <c r="F43" s="33">
        <f>IFERROR(_xll.KeyLookup($A$21,F$21,F$22,$A43)/$B$3,"-")</f>
        <v>-49.5</v>
      </c>
      <c r="G43" s="33">
        <f>IFERROR(_xll.KeyLookup($A$21,G$21,G$22,$A43)/$B$3,"-")</f>
        <v>-43.423000000000002</v>
      </c>
      <c r="H43" s="33">
        <f>IFERROR(_xll.KeyLookup($A$21,H$21,H$22,$A43)/$B$3,"-")</f>
        <v>-64.495999999999995</v>
      </c>
      <c r="I43" s="33">
        <f>IFERROR(_xll.KeyLookup($A$21,I$21,I$22,$A43)/$B$3,"-")</f>
        <v>-80.686999999999998</v>
      </c>
      <c r="J43" s="33">
        <f>IFERROR(_xll.KeyLookup($A$21,J$21,J$22,$A43)/$B$3,"-")</f>
        <v>-54.024000000000001</v>
      </c>
      <c r="K43" s="33">
        <f>IFERROR(_xll.KeyLookup($A$21,K$21,K$22,$A43)/$B$3,"-")</f>
        <v>-47.970999999999997</v>
      </c>
      <c r="L43" s="33">
        <f>IFERROR(_xll.KeyLookup($A$21,L$21,L$22,$A43)/$B$3,"-")</f>
        <v>-74.631</v>
      </c>
      <c r="M43" s="33">
        <f>IFERROR(_xll.KeyLookup($A$21,M$21,M$22,$A43)/$B$3,"-")</f>
        <v>-95.783000000000001</v>
      </c>
      <c r="N43" s="33">
        <f>IFERROR(_xll.KeyLookup($A$21,N$21,N$22,$A43)/$B$3,"-")</f>
        <v>-53.485999999999997</v>
      </c>
      <c r="O43" s="33">
        <f>IFERROR(_xll.KeyLookup($A$21,O$21,O$22,$A43)/$B$3,"-")</f>
        <v>-43.61</v>
      </c>
      <c r="P43" s="33">
        <f>IFERROR(_xll.KeyLookup($A$21,P$21,P$22,$A43)/$B$3,"-")</f>
        <v>-67.105000000000004</v>
      </c>
    </row>
    <row r="44" spans="1:16" hidden="1" outlineLevel="1" x14ac:dyDescent="0.2">
      <c r="A44" s="1">
        <v>12301</v>
      </c>
      <c r="B44" s="1" t="str">
        <f>_xll.KeyName($A$21,A44)</f>
        <v>Aircraft and aircrew lease</v>
      </c>
      <c r="C44" s="33">
        <f>IFERROR(_xll.KeyLookup($A$21,C$21,C$22,$A44)/$B$3,"-")</f>
        <v>-18.559000000000001</v>
      </c>
      <c r="D44" s="33">
        <f>IFERROR(_xll.KeyLookup($A$21,D$21,D$22,$A44)/$B$3,"-")</f>
        <v>-19.738</v>
      </c>
      <c r="E44" s="33">
        <f>IFERROR(_xll.KeyLookup($A$21,E$21,E$22,$A44)/$B$3,"-")</f>
        <v>-20.193999999999999</v>
      </c>
      <c r="F44" s="33">
        <f>IFERROR(_xll.KeyLookup($A$21,F$21,F$22,$A44)/$B$3,"-")</f>
        <v>-17.303999999999998</v>
      </c>
      <c r="G44" s="33">
        <f>IFERROR(_xll.KeyLookup($A$21,G$21,G$22,$A44)/$B$3,"-")</f>
        <v>-16.954000000000001</v>
      </c>
      <c r="H44" s="33">
        <f>IFERROR(_xll.KeyLookup($A$21,H$21,H$22,$A44)/$B$3,"-")</f>
        <v>-17.285</v>
      </c>
      <c r="I44" s="33">
        <f>IFERROR(_xll.KeyLookup($A$21,I$21,I$22,$A44)/$B$3,"-")</f>
        <v>-11.446999999999999</v>
      </c>
      <c r="J44" s="33">
        <f>IFERROR(_xll.KeyLookup($A$21,J$21,J$22,$A44)/$B$3,"-")</f>
        <v>11.116</v>
      </c>
      <c r="K44" s="33">
        <f>IFERROR(_xll.KeyLookup($A$21,K$21,K$22,$A44)/$B$3,"-")</f>
        <v>-6.0069999999999997</v>
      </c>
      <c r="L44" s="33">
        <f>IFERROR(_xll.KeyLookup($A$21,L$21,L$22,$A44)/$B$3,"-")</f>
        <v>-7.032</v>
      </c>
      <c r="M44" s="33">
        <f>IFERROR(_xll.KeyLookup($A$21,M$21,M$22,$A44)/$B$3,"-")</f>
        <v>-5.7320000000000002</v>
      </c>
      <c r="N44" s="33">
        <f>IFERROR(_xll.KeyLookup($A$21,N$21,N$22,$A44)/$B$3,"-")</f>
        <v>-7.8819999999999997</v>
      </c>
      <c r="O44" s="33">
        <f>IFERROR(_xll.KeyLookup($A$21,O$21,O$22,$A44)/$B$3,"-")</f>
        <v>-5.6879999999999997</v>
      </c>
      <c r="P44" s="33">
        <f>IFERROR(_xll.KeyLookup($A$21,P$21,P$22,$A44)/$B$3,"-")</f>
        <v>-6.3979999999999997</v>
      </c>
    </row>
    <row r="45" spans="1:16" hidden="1" outlineLevel="1" x14ac:dyDescent="0.2">
      <c r="A45" s="1">
        <v>12451</v>
      </c>
      <c r="B45" s="1" t="str">
        <f>_xll.KeyName($A$21,A45)</f>
        <v>Aircraft handling, landing and communication</v>
      </c>
      <c r="C45" s="33">
        <f>IFERROR(_xll.KeyLookup($A$21,C$21,C$22,$A45)/$B$3,"-")</f>
        <v>-10.788</v>
      </c>
      <c r="D45" s="33">
        <f>IFERROR(_xll.KeyLookup($A$21,D$21,D$22,$A45)/$B$3,"-")</f>
        <v>-17.488</v>
      </c>
      <c r="E45" s="33">
        <f>IFERROR(_xll.KeyLookup($A$21,E$21,E$22,$A45)/$B$3,"-")</f>
        <v>-23.620999999999999</v>
      </c>
      <c r="F45" s="33">
        <f>IFERROR(_xll.KeyLookup($A$21,F$21,F$22,$A45)/$B$3,"-")</f>
        <v>-13.754</v>
      </c>
      <c r="G45" s="33">
        <f>IFERROR(_xll.KeyLookup($A$21,G$21,G$22,$A45)/$B$3,"-")</f>
        <v>-12.393000000000001</v>
      </c>
      <c r="H45" s="33">
        <f>IFERROR(_xll.KeyLookup($A$21,H$21,H$22,$A45)/$B$3,"-")</f>
        <v>-19.198</v>
      </c>
      <c r="I45" s="33">
        <f>IFERROR(_xll.KeyLookup($A$21,I$21,I$22,$A45)/$B$3,"-")</f>
        <v>-25.34</v>
      </c>
      <c r="J45" s="33">
        <f>IFERROR(_xll.KeyLookup($A$21,J$21,J$22,$A45)/$B$3,"-")</f>
        <v>-24.544</v>
      </c>
      <c r="K45" s="33">
        <f>IFERROR(_xll.KeyLookup($A$21,K$21,K$22,$A45)/$B$3,"-")</f>
        <v>-14.372</v>
      </c>
      <c r="L45" s="33">
        <f>IFERROR(_xll.KeyLookup($A$21,L$21,L$22,$A45)/$B$3,"-")</f>
        <v>-22.231000000000002</v>
      </c>
      <c r="M45" s="33">
        <f>IFERROR(_xll.KeyLookup($A$21,M$21,M$22,$A45)/$B$3,"-")</f>
        <v>-29.356999999999999</v>
      </c>
      <c r="N45" s="33">
        <f>IFERROR(_xll.KeyLookup($A$21,N$21,N$22,$A45)/$B$3,"-")</f>
        <v>-9.9239999999999995</v>
      </c>
      <c r="O45" s="33">
        <f>IFERROR(_xll.KeyLookup($A$21,O$21,O$22,$A45)/$B$3,"-")</f>
        <v>-14.882</v>
      </c>
      <c r="P45" s="33">
        <f>IFERROR(_xll.KeyLookup($A$21,P$21,P$22,$A45)/$B$3,"-")</f>
        <v>-21.852</v>
      </c>
    </row>
    <row r="46" spans="1:16" hidden="1" outlineLevel="1" x14ac:dyDescent="0.2">
      <c r="A46" s="1">
        <v>12501</v>
      </c>
      <c r="B46" s="1" t="str">
        <f>_xll.KeyName($A$21,A46)</f>
        <v>Aircraft maintenance expenses</v>
      </c>
      <c r="C46" s="33">
        <f>IFERROR(_xll.KeyLookup($A$21,C$21,C$22,$A46)/$B$3,"-")</f>
        <v>-12.157</v>
      </c>
      <c r="D46" s="33">
        <f>IFERROR(_xll.KeyLookup($A$21,D$21,D$22,$A46)/$B$3,"-")</f>
        <v>-12.541</v>
      </c>
      <c r="E46" s="33">
        <f>IFERROR(_xll.KeyLookup($A$21,E$21,E$22,$A46)/$B$3,"-")</f>
        <v>-14.76</v>
      </c>
      <c r="F46" s="33">
        <f>IFERROR(_xll.KeyLookup($A$21,F$21,F$22,$A46)/$B$3,"-")</f>
        <v>-13.535</v>
      </c>
      <c r="G46" s="33">
        <f>IFERROR(_xll.KeyLookup($A$21,G$21,G$22,$A46)/$B$3,"-")</f>
        <v>-12.358000000000001</v>
      </c>
      <c r="H46" s="33">
        <f>IFERROR(_xll.KeyLookup($A$21,H$21,H$22,$A46)/$B$3,"-")</f>
        <v>-11.706</v>
      </c>
      <c r="I46" s="33">
        <f>IFERROR(_xll.KeyLookup($A$21,I$21,I$22,$A46)/$B$3,"-")</f>
        <v>-24.335000000000001</v>
      </c>
      <c r="J46" s="33">
        <f>IFERROR(_xll.KeyLookup($A$21,J$21,J$22,$A46)/$B$3,"-")</f>
        <v>-25.917000000000002</v>
      </c>
      <c r="K46" s="33">
        <f>IFERROR(_xll.KeyLookup($A$21,K$21,K$22,$A46)/$B$3,"-")</f>
        <v>-21.067</v>
      </c>
      <c r="L46" s="33">
        <f>IFERROR(_xll.KeyLookup($A$21,L$21,L$22,$A46)/$B$3,"-")</f>
        <v>-16.742000000000001</v>
      </c>
      <c r="M46" s="33">
        <f>IFERROR(_xll.KeyLookup($A$21,M$21,M$22,$A46)/$B$3,"-")</f>
        <v>-21.646999999999998</v>
      </c>
      <c r="N46" s="33">
        <f>IFERROR(_xll.KeyLookup($A$21,N$21,N$22,$A46)/$B$3,"-")</f>
        <v>-23.431999999999999</v>
      </c>
      <c r="O46" s="33">
        <f>IFERROR(_xll.KeyLookup($A$21,O$21,O$22,$A46)/$B$3,"-")</f>
        <v>-17.722999999999999</v>
      </c>
      <c r="P46" s="33">
        <f>IFERROR(_xll.KeyLookup($A$21,P$21,P$22,$A46)/$B$3,"-")</f>
        <v>-20.280999999999999</v>
      </c>
    </row>
    <row r="47" spans="1:16" hidden="1" outlineLevel="1" x14ac:dyDescent="0.2">
      <c r="A47" s="1">
        <v>12601</v>
      </c>
      <c r="B47" s="1" t="str">
        <f>_xll.KeyName($A$21,A47)</f>
        <v>Operating cost of real estates and fixtures</v>
      </c>
      <c r="C47" s="33">
        <f>IFERROR(_xll.KeyLookup($A$21,C$21,C$22,$A47)/$B$3,"-")</f>
        <v>-4.0270000000000001</v>
      </c>
      <c r="D47" s="33">
        <f>IFERROR(_xll.KeyLookup($A$21,D$21,D$22,$A47)/$B$3,"-")</f>
        <v>-4.5620000000000003</v>
      </c>
      <c r="E47" s="33">
        <f>IFERROR(_xll.KeyLookup($A$21,E$21,E$22,$A47)/$B$3,"-")</f>
        <v>-5.5880000000000001</v>
      </c>
      <c r="F47" s="33">
        <f>IFERROR(_xll.KeyLookup($A$21,F$21,F$22,$A47)/$B$3,"-")</f>
        <v>-4.7439999999999998</v>
      </c>
      <c r="G47" s="33">
        <f>IFERROR(_xll.KeyLookup($A$21,G$21,G$22,$A47)/$B$3,"-")</f>
        <v>-4.7</v>
      </c>
      <c r="H47" s="33">
        <f>IFERROR(_xll.KeyLookup($A$21,H$21,H$22,$A47)/$B$3,"-")</f>
        <v>-5.5250000000000004</v>
      </c>
      <c r="I47" s="33">
        <f>IFERROR(_xll.KeyLookup($A$21,I$21,I$22,$A47)/$B$3,"-")</f>
        <v>-6.0979999999999999</v>
      </c>
      <c r="J47" s="33">
        <f>IFERROR(_xll.KeyLookup($A$21,J$21,J$22,$A47)/$B$3,"-")</f>
        <v>-5.5860000000000003</v>
      </c>
      <c r="K47" s="33">
        <f>IFERROR(_xll.KeyLookup($A$21,K$21,K$22,$A47)/$B$3,"-")</f>
        <v>-5.569</v>
      </c>
      <c r="L47" s="33">
        <f>IFERROR(_xll.KeyLookup($A$21,L$21,L$22,$A47)/$B$3,"-")</f>
        <v>-5.2859999999999996</v>
      </c>
      <c r="M47" s="33">
        <f>IFERROR(_xll.KeyLookup($A$21,M$21,M$22,$A47)/$B$3,"-")</f>
        <v>-6.2119999999999997</v>
      </c>
      <c r="N47" s="33">
        <f>IFERROR(_xll.KeyLookup($A$21,N$21,N$22,$A47)/$B$3,"-")</f>
        <v>-5.351</v>
      </c>
      <c r="O47" s="33">
        <f>IFERROR(_xll.KeyLookup($A$21,O$21,O$22,$A47)/$B$3,"-")</f>
        <v>-5.0579999999999998</v>
      </c>
      <c r="P47" s="33">
        <f>IFERROR(_xll.KeyLookup($A$21,P$21,P$22,$A47)/$B$3,"-")</f>
        <v>-5.65</v>
      </c>
    </row>
    <row r="48" spans="1:16" hidden="1" outlineLevel="1" x14ac:dyDescent="0.2">
      <c r="A48" s="1">
        <v>12602</v>
      </c>
      <c r="B48" s="1" t="str">
        <f>_xll.KeyName($A$21,A48)</f>
        <v>Communication</v>
      </c>
      <c r="C48" s="33">
        <f>IFERROR(_xll.KeyLookup($A$21,C$21,C$22,$A48)/$B$3,"-")</f>
        <v>-3.07</v>
      </c>
      <c r="D48" s="33">
        <f>IFERROR(_xll.KeyLookup($A$21,D$21,D$22,$A48)/$B$3,"-")</f>
        <v>-2.8690000000000002</v>
      </c>
      <c r="E48" s="33">
        <f>IFERROR(_xll.KeyLookup($A$21,E$21,E$22,$A48)/$B$3,"-")</f>
        <v>-3.1040000000000001</v>
      </c>
      <c r="F48" s="33">
        <f>IFERROR(_xll.KeyLookup($A$21,F$21,F$22,$A48)/$B$3,"-")</f>
        <v>-3.3359999999999999</v>
      </c>
      <c r="G48" s="33">
        <f>IFERROR(_xll.KeyLookup($A$21,G$21,G$22,$A48)/$B$3,"-")</f>
        <v>-3.504</v>
      </c>
      <c r="H48" s="33">
        <f>IFERROR(_xll.KeyLookup($A$21,H$21,H$22,$A48)/$B$3,"-")</f>
        <v>-3.5419999999999998</v>
      </c>
      <c r="I48" s="33">
        <f>IFERROR(_xll.KeyLookup($A$21,I$21,I$22,$A48)/$B$3,"-")</f>
        <v>-3.2570000000000001</v>
      </c>
      <c r="J48" s="33">
        <f>IFERROR(_xll.KeyLookup($A$21,J$21,J$22,$A48)/$B$3,"-")</f>
        <v>-3.4</v>
      </c>
      <c r="K48" s="33">
        <f>IFERROR(_xll.KeyLookup($A$21,K$21,K$22,$A48)/$B$3,"-")</f>
        <v>-4.4219999999999997</v>
      </c>
      <c r="L48" s="33">
        <f>IFERROR(_xll.KeyLookup($A$21,L$21,L$22,$A48)/$B$3,"-")</f>
        <v>-4.2519999999999998</v>
      </c>
      <c r="M48" s="33">
        <f>IFERROR(_xll.KeyLookup($A$21,M$21,M$22,$A48)/$B$3,"-")</f>
        <v>-4.1660000000000004</v>
      </c>
      <c r="N48" s="33">
        <f>IFERROR(_xll.KeyLookup($A$21,N$21,N$22,$A48)/$B$3,"-")</f>
        <v>-3.7370000000000001</v>
      </c>
      <c r="O48" s="33">
        <f>IFERROR(_xll.KeyLookup($A$21,O$21,O$22,$A48)/$B$3,"-")</f>
        <v>-4.3630000000000004</v>
      </c>
      <c r="P48" s="33">
        <f>IFERROR(_xll.KeyLookup($A$21,P$21,P$22,$A48)/$B$3,"-")</f>
        <v>-4.3010000000000002</v>
      </c>
    </row>
    <row r="49" spans="1:16" hidden="1" outlineLevel="1" x14ac:dyDescent="0.2">
      <c r="A49" s="1">
        <v>12603</v>
      </c>
      <c r="B49" s="1" t="str">
        <f>_xll.KeyName($A$21,A49)</f>
        <v>Advertising</v>
      </c>
      <c r="C49" s="33">
        <f>IFERROR(_xll.KeyLookup($A$21,C$21,C$22,$A49)/$B$3,"-")</f>
        <v>-5.5750000000000002</v>
      </c>
      <c r="D49" s="33">
        <f>IFERROR(_xll.KeyLookup($A$21,D$21,D$22,$A49)/$B$3,"-")</f>
        <v>-3.6429999999999998</v>
      </c>
      <c r="E49" s="33">
        <f>IFERROR(_xll.KeyLookup($A$21,E$21,E$22,$A49)/$B$3,"-")</f>
        <v>-4.05</v>
      </c>
      <c r="F49" s="33">
        <f>IFERROR(_xll.KeyLookup($A$21,F$21,F$22,$A49)/$B$3,"-")</f>
        <v>-4.9740000000000002</v>
      </c>
      <c r="G49" s="33">
        <f>IFERROR(_xll.KeyLookup($A$21,G$21,G$22,$A49)/$B$3,"-")</f>
        <v>-5.2670000000000003</v>
      </c>
      <c r="H49" s="33">
        <f>IFERROR(_xll.KeyLookup($A$21,H$21,H$22,$A49)/$B$3,"-")</f>
        <v>-3.976</v>
      </c>
      <c r="I49" s="33">
        <f>IFERROR(_xll.KeyLookup($A$21,I$21,I$22,$A49)/$B$3,"-")</f>
        <v>-5.2889999999999997</v>
      </c>
      <c r="J49" s="33">
        <f>IFERROR(_xll.KeyLookup($A$21,J$21,J$22,$A49)/$B$3,"-")</f>
        <v>-6.1719999999999997</v>
      </c>
      <c r="K49" s="33">
        <f>IFERROR(_xll.KeyLookup($A$21,K$21,K$22,$A49)/$B$3,"-")</f>
        <v>-5.8120000000000003</v>
      </c>
      <c r="L49" s="33">
        <f>IFERROR(_xll.KeyLookup($A$21,L$21,L$22,$A49)/$B$3,"-")</f>
        <v>-4.0590000000000002</v>
      </c>
      <c r="M49" s="33">
        <f>IFERROR(_xll.KeyLookup($A$21,M$21,M$22,$A49)/$B$3,"-")</f>
        <v>-5.9909999999999997</v>
      </c>
      <c r="N49" s="33">
        <f>IFERROR(_xll.KeyLookup($A$21,N$21,N$22,$A49)/$B$3,"-")</f>
        <v>-7.8029999999999999</v>
      </c>
      <c r="O49" s="33">
        <f>IFERROR(_xll.KeyLookup($A$21,O$21,O$22,$A49)/$B$3,"-")</f>
        <v>-5.9630000000000001</v>
      </c>
      <c r="P49" s="33">
        <f>IFERROR(_xll.KeyLookup($A$21,P$21,P$22,$A49)/$B$3,"-")</f>
        <v>-4.4450000000000003</v>
      </c>
    </row>
    <row r="50" spans="1:16" hidden="1" outlineLevel="1" x14ac:dyDescent="0.2">
      <c r="A50" s="1">
        <v>12604</v>
      </c>
      <c r="B50" s="1" t="str">
        <f>_xll.KeyName($A$21,A50)</f>
        <v>Booking fee and commission expenses</v>
      </c>
      <c r="C50" s="33">
        <f>IFERROR(_xll.KeyLookup($A$21,C$21,C$22,$A50)/$B$3,"-")</f>
        <v>-7.5659999999999998</v>
      </c>
      <c r="D50" s="33">
        <f>IFERROR(_xll.KeyLookup($A$21,D$21,D$22,$A50)/$B$3,"-")</f>
        <v>-7.3239999999999998</v>
      </c>
      <c r="E50" s="33">
        <f>IFERROR(_xll.KeyLookup($A$21,E$21,E$22,$A50)/$B$3,"-")</f>
        <v>-8.7240000000000002</v>
      </c>
      <c r="F50" s="33">
        <f>IFERROR(_xll.KeyLookup($A$21,F$21,F$22,$A50)/$B$3,"-")</f>
        <v>-6.548</v>
      </c>
      <c r="G50" s="33">
        <f>IFERROR(_xll.KeyLookup($A$21,G$21,G$22,$A50)/$B$3,"-")</f>
        <v>-9.3870000000000005</v>
      </c>
      <c r="H50" s="33">
        <f>IFERROR(_xll.KeyLookup($A$21,H$21,H$22,$A50)/$B$3,"-")</f>
        <v>-8.8640000000000008</v>
      </c>
      <c r="I50" s="33">
        <f>IFERROR(_xll.KeyLookup($A$21,I$21,I$22,$A50)/$B$3,"-")</f>
        <v>-11.21</v>
      </c>
      <c r="J50" s="33">
        <f>IFERROR(_xll.KeyLookup($A$21,J$21,J$22,$A50)/$B$3,"-")</f>
        <v>-8.1359999999999992</v>
      </c>
      <c r="K50" s="33">
        <f>IFERROR(_xll.KeyLookup($A$21,K$21,K$22,$A50)/$B$3,"-")</f>
        <v>-12.256</v>
      </c>
      <c r="L50" s="33">
        <f>IFERROR(_xll.KeyLookup($A$21,L$21,L$22,$A50)/$B$3,"-")</f>
        <v>-10.986000000000001</v>
      </c>
      <c r="M50" s="33">
        <f>IFERROR(_xll.KeyLookup($A$21,M$21,M$22,$A50)/$B$3,"-")</f>
        <v>-12.484999999999999</v>
      </c>
      <c r="N50" s="33">
        <f>IFERROR(_xll.KeyLookup($A$21,N$21,N$22,$A50)/$B$3,"-")</f>
        <v>-9.7370000000000001</v>
      </c>
      <c r="O50" s="33">
        <f>IFERROR(_xll.KeyLookup($A$21,O$21,O$22,$A50)/$B$3,"-")</f>
        <v>-12.377000000000001</v>
      </c>
      <c r="P50" s="33">
        <f>IFERROR(_xll.KeyLookup($A$21,P$21,P$22,$A50)/$B$3,"-")</f>
        <v>-11.615</v>
      </c>
    </row>
    <row r="51" spans="1:16" hidden="1" outlineLevel="1" x14ac:dyDescent="0.2">
      <c r="A51" s="1">
        <v>12605</v>
      </c>
      <c r="B51" s="1" t="str">
        <f>_xll.KeyName($A$21,A51)</f>
        <v>Cost of goods sold</v>
      </c>
      <c r="C51" s="33">
        <f>IFERROR(_xll.KeyLookup($A$21,C$21,C$22,$A51)/$B$3,"-")</f>
        <v>-3.31</v>
      </c>
      <c r="D51" s="33">
        <f>IFERROR(_xll.KeyLookup($A$21,D$21,D$22,$A51)/$B$3,"-")</f>
        <v>-4.5679999999999996</v>
      </c>
      <c r="E51" s="33">
        <f>IFERROR(_xll.KeyLookup($A$21,E$21,E$22,$A51)/$B$3,"-")</f>
        <v>-6.0149999999999997</v>
      </c>
      <c r="F51" s="33">
        <f>IFERROR(_xll.KeyLookup($A$21,F$21,F$22,$A51)/$B$3,"-")</f>
        <v>-5.4729999999999999</v>
      </c>
      <c r="G51" s="33">
        <f>IFERROR(_xll.KeyLookup($A$21,G$21,G$22,$A51)/$B$3,"-")</f>
        <v>-3.9209999999999998</v>
      </c>
      <c r="H51" s="33">
        <f>IFERROR(_xll.KeyLookup($A$21,H$21,H$22,$A51)/$B$3,"-")</f>
        <v>-5.2670000000000003</v>
      </c>
      <c r="I51" s="33">
        <f>IFERROR(_xll.KeyLookup($A$21,I$21,I$22,$A51)/$B$3,"-")</f>
        <v>-6.29</v>
      </c>
      <c r="J51" s="33">
        <f>IFERROR(_xll.KeyLookup($A$21,J$21,J$22,$A51)/$B$3,"-")</f>
        <v>-5.4480000000000004</v>
      </c>
      <c r="K51" s="33">
        <f>IFERROR(_xll.KeyLookup($A$21,K$21,K$22,$A51)/$B$3,"-")</f>
        <v>-4.4269999999999996</v>
      </c>
      <c r="L51" s="33">
        <f>IFERROR(_xll.KeyLookup($A$21,L$21,L$22,$A51)/$B$3,"-")</f>
        <v>-6.2830000000000004</v>
      </c>
      <c r="M51" s="33">
        <f>IFERROR(_xll.KeyLookup($A$21,M$21,M$22,$A51)/$B$3,"-")</f>
        <v>-7.56</v>
      </c>
      <c r="N51" s="33">
        <f>IFERROR(_xll.KeyLookup($A$21,N$21,N$22,$A51)/$B$3,"-")</f>
        <v>-5.48</v>
      </c>
      <c r="O51" s="33">
        <f>IFERROR(_xll.KeyLookup($A$21,O$21,O$22,$A51)/$B$3,"-")</f>
        <v>-4.2130000000000001</v>
      </c>
      <c r="P51" s="33">
        <f>IFERROR(_xll.KeyLookup($A$21,P$21,P$22,$A51)/$B$3,"-")</f>
        <v>-5.6820000000000004</v>
      </c>
    </row>
    <row r="52" spans="1:16" hidden="1" outlineLevel="1" x14ac:dyDescent="0.2">
      <c r="A52" s="1">
        <v>12606</v>
      </c>
      <c r="B52" s="1" t="str">
        <f>_xll.KeyName($A$21,A52)</f>
        <v>Customer services</v>
      </c>
      <c r="C52" s="33">
        <f>IFERROR(_xll.KeyLookup($A$21,C$21,C$22,$A52)/$B$3,"-")</f>
        <v>-2.016</v>
      </c>
      <c r="D52" s="33">
        <f>IFERROR(_xll.KeyLookup($A$21,D$21,D$22,$A52)/$B$3,"-")</f>
        <v>-2.8820000000000001</v>
      </c>
      <c r="E52" s="33">
        <f>IFERROR(_xll.KeyLookup($A$21,E$21,E$22,$A52)/$B$3,"-")</f>
        <v>-4.3470000000000004</v>
      </c>
      <c r="F52" s="33">
        <f>IFERROR(_xll.KeyLookup($A$21,F$21,F$22,$A52)/$B$3,"-")</f>
        <v>-3.08</v>
      </c>
      <c r="G52" s="33">
        <f>IFERROR(_xll.KeyLookup($A$21,G$21,G$22,$A52)/$B$3,"-")</f>
        <v>-2.23</v>
      </c>
      <c r="H52" s="33">
        <f>IFERROR(_xll.KeyLookup($A$21,H$21,H$22,$A52)/$B$3,"-")</f>
        <v>-3.625</v>
      </c>
      <c r="I52" s="33">
        <f>IFERROR(_xll.KeyLookup($A$21,I$21,I$22,$A52)/$B$3,"-")</f>
        <v>-5.7949999999999999</v>
      </c>
      <c r="J52" s="33">
        <f>IFERROR(_xll.KeyLookup($A$21,J$21,J$22,$A52)/$B$3,"-")</f>
        <v>-3.7330000000000001</v>
      </c>
      <c r="K52" s="33">
        <f>IFERROR(_xll.KeyLookup($A$21,K$21,K$22,$A52)/$B$3,"-")</f>
        <v>-3.5739999999999998</v>
      </c>
      <c r="L52" s="33">
        <f>IFERROR(_xll.KeyLookup($A$21,L$21,L$22,$A52)/$B$3,"-")</f>
        <v>-5.774</v>
      </c>
      <c r="M52" s="33">
        <f>IFERROR(_xll.KeyLookup($A$21,M$21,M$22,$A52)/$B$3,"-")</f>
        <v>-7.27</v>
      </c>
      <c r="N52" s="33">
        <f>IFERROR(_xll.KeyLookup($A$21,N$21,N$22,$A52)/$B$3,"-")</f>
        <v>-3.8919999999999999</v>
      </c>
      <c r="O52" s="33">
        <f>IFERROR(_xll.KeyLookup($A$21,O$21,O$22,$A52)/$B$3,"-")</f>
        <v>-3.9969999999999999</v>
      </c>
      <c r="P52" s="33">
        <f>IFERROR(_xll.KeyLookup($A$21,P$21,P$22,$A52)/$B$3,"-")</f>
        <v>-6.06</v>
      </c>
    </row>
    <row r="53" spans="1:16" hidden="1" outlineLevel="1" x14ac:dyDescent="0.2">
      <c r="A53" s="1">
        <v>12607</v>
      </c>
      <c r="B53" s="1" t="str">
        <f>_xll.KeyName($A$21,A53)</f>
        <v>Tourism expenses</v>
      </c>
      <c r="C53" s="33">
        <f>IFERROR(_xll.KeyLookup($A$21,C$21,C$22,$A53)/$B$3,"-")</f>
        <v>-5.1289999999999996</v>
      </c>
      <c r="D53" s="33">
        <f>IFERROR(_xll.KeyLookup($A$21,D$21,D$22,$A53)/$B$3,"-")</f>
        <v>-9.8689999999999998</v>
      </c>
      <c r="E53" s="33">
        <f>IFERROR(_xll.KeyLookup($A$21,E$21,E$22,$A53)/$B$3,"-")</f>
        <v>-15.298999999999999</v>
      </c>
      <c r="F53" s="33">
        <f>IFERROR(_xll.KeyLookup($A$21,F$21,F$22,$A53)/$B$3,"-")</f>
        <v>-3.9039999999999999</v>
      </c>
      <c r="G53" s="33">
        <f>IFERROR(_xll.KeyLookup($A$21,G$21,G$22,$A53)/$B$3,"-")</f>
        <v>-6.1360000000000001</v>
      </c>
      <c r="H53" s="33">
        <f>IFERROR(_xll.KeyLookup($A$21,H$21,H$22,$A53)/$B$3,"-")</f>
        <v>-9.9239999999999995</v>
      </c>
      <c r="I53" s="33">
        <f>IFERROR(_xll.KeyLookup($A$21,I$21,I$22,$A53)/$B$3,"-")</f>
        <v>-21.414999999999999</v>
      </c>
      <c r="J53" s="33">
        <f>IFERROR(_xll.KeyLookup($A$21,J$21,J$22,$A53)/$B$3,"-")</f>
        <v>-6.851</v>
      </c>
      <c r="K53" s="33">
        <f>IFERROR(_xll.KeyLookup($A$21,K$21,K$22,$A53)/$B$3,"-")</f>
        <v>-7.1509999999999998</v>
      </c>
      <c r="L53" s="33">
        <f>IFERROR(_xll.KeyLookup($A$21,L$21,L$22,$A53)/$B$3,"-")</f>
        <v>-14.632999999999999</v>
      </c>
      <c r="M53" s="33">
        <f>IFERROR(_xll.KeyLookup($A$21,M$21,M$22,$A53)/$B$3,"-")</f>
        <v>-25.492000000000001</v>
      </c>
      <c r="N53" s="33">
        <f>IFERROR(_xll.KeyLookup($A$21,N$21,N$22,$A53)/$B$3,"-")</f>
        <v>-3.2210000000000001</v>
      </c>
      <c r="O53" s="33">
        <f>IFERROR(_xll.KeyLookup($A$21,O$21,O$22,$A53)/$B$3,"-")</f>
        <v>-6.9889999999999999</v>
      </c>
      <c r="P53" s="33">
        <f>IFERROR(_xll.KeyLookup($A$21,P$21,P$22,$A53)/$B$3,"-")</f>
        <v>-13.488</v>
      </c>
    </row>
    <row r="54" spans="1:16" hidden="1" outlineLevel="1" x14ac:dyDescent="0.2">
      <c r="A54" s="1">
        <v>12608</v>
      </c>
      <c r="B54" s="1" t="str">
        <f>_xll.KeyName($A$21,A54)</f>
        <v>Allowance for bad debt</v>
      </c>
      <c r="C54" s="33">
        <f>IFERROR(_xll.KeyLookup($A$21,C$21,C$22,$A54)/$B$3,"-")</f>
        <v>-1.4419999999999999</v>
      </c>
      <c r="D54" s="33">
        <f>IFERROR(_xll.KeyLookup($A$21,D$21,D$22,$A54)/$B$3,"-")</f>
        <v>-2.4209999999999998</v>
      </c>
      <c r="E54" s="33">
        <f>IFERROR(_xll.KeyLookup($A$21,E$21,E$22,$A54)/$B$3,"-")</f>
        <v>0.04</v>
      </c>
      <c r="F54" s="33">
        <f>IFERROR(_xll.KeyLookup($A$21,F$21,F$22,$A54)/$B$3,"-")</f>
        <v>3.823</v>
      </c>
      <c r="G54" s="33">
        <f>IFERROR(_xll.KeyLookup($A$21,G$21,G$22,$A54)/$B$3,"-")</f>
        <v>-2.1150000000000002</v>
      </c>
      <c r="H54" s="33">
        <f>IFERROR(_xll.KeyLookup($A$21,H$21,H$22,$A54)/$B$3,"-")</f>
        <v>0.879</v>
      </c>
      <c r="I54" s="33">
        <f>IFERROR(_xll.KeyLookup($A$21,I$21,I$22,$A54)/$B$3,"-")</f>
        <v>0.46400000000000002</v>
      </c>
      <c r="J54" s="33">
        <f>IFERROR(_xll.KeyLookup($A$21,J$21,J$22,$A54)/$B$3,"-")</f>
        <v>0.77200000000000002</v>
      </c>
      <c r="K54" s="33">
        <f>IFERROR(_xll.KeyLookup($A$21,K$21,K$22,$A54)/$B$3,"-")</f>
        <v>-3.8340000000000001</v>
      </c>
      <c r="L54" s="33">
        <f>IFERROR(_xll.KeyLookup($A$21,L$21,L$22,$A54)/$B$3,"-")</f>
        <v>3.0640000000000001</v>
      </c>
      <c r="M54" s="33">
        <f>IFERROR(_xll.KeyLookup($A$21,M$21,M$22,$A54)/$B$3,"-")</f>
        <v>3.367</v>
      </c>
      <c r="N54" s="33">
        <f>IFERROR(_xll.KeyLookup($A$21,N$21,N$22,$A54)/$B$3,"-")</f>
        <v>-2.597</v>
      </c>
      <c r="O54" s="33">
        <f>IFERROR(_xll.KeyLookup($A$21,O$21,O$22,$A54)/$B$3,"-")</f>
        <v>0.182</v>
      </c>
      <c r="P54" s="33">
        <f>IFERROR(_xll.KeyLookup($A$21,P$21,P$22,$A54)/$B$3,"-")</f>
        <v>-0.38400000000000001</v>
      </c>
    </row>
    <row r="55" spans="1:16" hidden="1" outlineLevel="1" x14ac:dyDescent="0.2">
      <c r="A55" s="1">
        <v>12609</v>
      </c>
      <c r="B55" s="1" t="str">
        <f>_xll.KeyName($A$21,A55)</f>
        <v>Other operating expenses</v>
      </c>
      <c r="C55" s="33">
        <f>IFERROR(_xll.KeyLookup($A$21,C$21,C$22,$A55)/$B$3,"-")</f>
        <v>-5.9029999999999996</v>
      </c>
      <c r="D55" s="33">
        <f>IFERROR(_xll.KeyLookup($A$21,D$21,D$22,$A55)/$B$3,"-")</f>
        <v>-6.2190000000000003</v>
      </c>
      <c r="E55" s="33">
        <f>IFERROR(_xll.KeyLookup($A$21,E$21,E$22,$A55)/$B$3,"-")</f>
        <v>-5.6150000000000002</v>
      </c>
      <c r="F55" s="33">
        <f>IFERROR(_xll.KeyLookup($A$21,F$21,F$22,$A55)/$B$3,"-")</f>
        <v>-7.7560000000000002</v>
      </c>
      <c r="G55" s="33">
        <f>IFERROR(_xll.KeyLookup($A$21,G$21,G$22,$A55)/$B$3,"-")</f>
        <v>-6.8849999999999998</v>
      </c>
      <c r="H55" s="33">
        <f>IFERROR(_xll.KeyLookup($A$21,H$21,H$22,$A55)/$B$3,"-")</f>
        <v>-6.9420000000000002</v>
      </c>
      <c r="I55" s="33">
        <f>IFERROR(_xll.KeyLookup($A$21,I$21,I$22,$A55)/$B$3,"-")</f>
        <v>-6.702</v>
      </c>
      <c r="J55" s="33">
        <f>IFERROR(_xll.KeyLookup($A$21,J$21,J$22,$A55)/$B$3,"-")</f>
        <v>-11.747</v>
      </c>
      <c r="K55" s="33">
        <f>IFERROR(_xll.KeyLookup($A$21,K$21,K$22,$A55)/$B$3,"-")</f>
        <v>-7.23</v>
      </c>
      <c r="L55" s="33">
        <f>IFERROR(_xll.KeyLookup($A$21,L$21,L$22,$A55)/$B$3,"-")</f>
        <v>-6.3029999999999999</v>
      </c>
      <c r="M55" s="33">
        <f>IFERROR(_xll.KeyLookup($A$21,M$21,M$22,$A55)/$B$3,"-")</f>
        <v>-6.782</v>
      </c>
      <c r="N55" s="33">
        <f>IFERROR(_xll.KeyLookup($A$21,N$21,N$22,$A55)/$B$3,"-")</f>
        <v>-5.306</v>
      </c>
      <c r="O55" s="33">
        <f>IFERROR(_xll.KeyLookup($A$21,O$21,O$22,$A55)/$B$3,"-")</f>
        <v>-6.5750000000000002</v>
      </c>
      <c r="P55" s="33">
        <f>IFERROR(_xll.KeyLookup($A$21,P$21,P$22,$A55)/$B$3,"-")</f>
        <v>-5.327</v>
      </c>
    </row>
    <row r="56" spans="1:16" collapsed="1" x14ac:dyDescent="0.2">
      <c r="A56" s="20" t="s">
        <v>6</v>
      </c>
      <c r="B56" s="21" t="str">
        <f>_xll.KeyName($A$21,A56)</f>
        <v>EBITDA</v>
      </c>
      <c r="C56" s="35">
        <f>IFERROR(_xll.KeyLookup($A$21,C$21,C$22,$A56)/$B$3,"-")</f>
        <v>-3.048</v>
      </c>
      <c r="D56" s="35">
        <f>IFERROR(_xll.KeyLookup($A$21,D$21,D$22,$A56)/$B$3,"-")</f>
        <v>28.818000000000001</v>
      </c>
      <c r="E56" s="35">
        <f>IFERROR(_xll.KeyLookup($A$21,E$21,E$22,$A56)/$B$3,"-")</f>
        <v>77.938999999999993</v>
      </c>
      <c r="F56" s="35">
        <f>IFERROR(_xll.KeyLookup($A$21,F$21,F$22,$A56)/$B$3,"-")</f>
        <v>5.9370000000000003</v>
      </c>
      <c r="G56" s="35">
        <f>IFERROR(_xll.KeyLookup($A$21,G$21,G$22,$A56)/$B$3,"-")</f>
        <v>-8.3140000000000001</v>
      </c>
      <c r="H56" s="35">
        <f>IFERROR(_xll.KeyLookup($A$21,H$21,H$22,$A56)/$B$3,"-")</f>
        <v>42.936</v>
      </c>
      <c r="I56" s="35">
        <f>IFERROR(_xll.KeyLookup($A$21,I$21,I$22,$A56)/$B$3,"-")</f>
        <v>102.241</v>
      </c>
      <c r="J56" s="35">
        <f>IFERROR(_xll.KeyLookup($A$21,J$21,J$22,$A56)/$B$3,"-")</f>
        <v>6.8470000000000004</v>
      </c>
      <c r="K56" s="35">
        <f>IFERROR(_xll.KeyLookup($A$21,K$21,K$22,$A56)/$B$3,"-")</f>
        <v>-13.304</v>
      </c>
      <c r="L56" s="35">
        <f>IFERROR(_xll.KeyLookup($A$21,L$21,L$22,$A56)/$B$3,"-")</f>
        <v>45.24</v>
      </c>
      <c r="M56" s="35">
        <f>IFERROR(_xll.KeyLookup($A$21,M$21,M$22,$A56)/$B$3,"-")</f>
        <v>123.883</v>
      </c>
      <c r="N56" s="35">
        <f>IFERROR(_xll.KeyLookup($A$21,N$21,N$22,$A56)/$B$3,"-")</f>
        <v>-1.4810000000000001</v>
      </c>
      <c r="O56" s="35">
        <f>IFERROR(_xll.KeyLookup($A$21,O$21,O$22,$A56)/$B$3,"-")</f>
        <v>-2.2679999999999998</v>
      </c>
      <c r="P56" s="35">
        <f>IFERROR(_xll.KeyLookup($A$21,P$21,P$22,$A56)/$B$3,"-")</f>
        <v>50.265000000000001</v>
      </c>
    </row>
    <row r="57" spans="1:16" x14ac:dyDescent="0.2">
      <c r="A57" s="1">
        <v>13101</v>
      </c>
      <c r="B57" s="1" t="str">
        <f>_xll.KeyName($A$21,A57)</f>
        <v>Depreciation and amortisation</v>
      </c>
      <c r="C57" s="33">
        <f>IFERROR(_xll.KeyLookup($A$21,C$21,C$22,$A57)/$B$3,"-")</f>
        <v>-13.675000000000001</v>
      </c>
      <c r="D57" s="33">
        <f>IFERROR(_xll.KeyLookup($A$21,D$21,D$22,$A57)/$B$3,"-")</f>
        <v>-14.304</v>
      </c>
      <c r="E57" s="33">
        <f>IFERROR(_xll.KeyLookup($A$21,E$21,E$22,$A57)/$B$3,"-")</f>
        <v>-16.792000000000002</v>
      </c>
      <c r="F57" s="33">
        <f>IFERROR(_xll.KeyLookup($A$21,F$21,F$22,$A57)/$B$3,"-")</f>
        <v>-14.087999999999999</v>
      </c>
      <c r="G57" s="33">
        <f>IFERROR(_xll.KeyLookup($A$21,G$21,G$22,$A57)/$B$3,"-")</f>
        <v>-14.683999999999999</v>
      </c>
      <c r="H57" s="33">
        <f>IFERROR(_xll.KeyLookup($A$21,H$21,H$22,$A57)/$B$3,"-")</f>
        <v>-18.167000000000002</v>
      </c>
      <c r="I57" s="33">
        <f>IFERROR(_xll.KeyLookup($A$21,I$21,I$22,$A57)/$B$3,"-")</f>
        <v>-20.073</v>
      </c>
      <c r="J57" s="33">
        <f>IFERROR(_xll.KeyLookup($A$21,J$21,J$22,$A57)/$B$3,"-")</f>
        <v>-17.774999999999999</v>
      </c>
      <c r="K57" s="33">
        <f>IFERROR(_xll.KeyLookup($A$21,K$21,K$22,$A57)/$B$3,"-")</f>
        <v>-17.295999999999999</v>
      </c>
      <c r="L57" s="33">
        <f>IFERROR(_xll.KeyLookup($A$21,L$21,L$22,$A57)/$B$3,"-")</f>
        <v>-19.39</v>
      </c>
      <c r="M57" s="33">
        <f>IFERROR(_xll.KeyLookup($A$21,M$21,M$22,$A57)/$B$3,"-")</f>
        <v>-21.367999999999999</v>
      </c>
      <c r="N57" s="33">
        <f>IFERROR(_xll.KeyLookup($A$21,N$21,N$22,$A57)/$B$3,"-")</f>
        <v>-17.274999999999999</v>
      </c>
      <c r="O57" s="33">
        <f>IFERROR(_xll.KeyLookup($A$21,O$21,O$22,$A57)/$B$3,"-")</f>
        <v>-17.010999999999999</v>
      </c>
      <c r="P57" s="33">
        <f>IFERROR(_xll.KeyLookup($A$21,P$21,P$22,$A57)/$B$3,"-")</f>
        <v>-21.872</v>
      </c>
    </row>
    <row r="58" spans="1:16" x14ac:dyDescent="0.2">
      <c r="A58" s="1">
        <v>13102</v>
      </c>
      <c r="B58" s="1" t="str">
        <f>_xll.KeyName($A$21,A58)</f>
        <v>Depreciation of operating assets</v>
      </c>
      <c r="C58" s="33">
        <f>IFERROR(_xll.KeyLookup($A$21,C$21,C$22,$A58)/$B$3,"-")</f>
        <v>0</v>
      </c>
      <c r="D58" s="33">
        <f>IFERROR(_xll.KeyLookup($A$21,D$21,D$22,$A58)/$B$3,"-")</f>
        <v>0</v>
      </c>
      <c r="E58" s="33">
        <f>IFERROR(_xll.KeyLookup($A$21,E$21,E$22,$A58)/$B$3,"-")</f>
        <v>0</v>
      </c>
      <c r="F58" s="33">
        <f>IFERROR(_xll.KeyLookup($A$21,F$21,F$22,$A58)/$B$3,"-")</f>
        <v>0</v>
      </c>
      <c r="G58" s="33">
        <f>IFERROR(_xll.KeyLookup($A$21,G$21,G$22,$A58)/$B$3,"-")</f>
        <v>0</v>
      </c>
      <c r="H58" s="33">
        <f>IFERROR(_xll.KeyLookup($A$21,H$21,H$22,$A58)/$B$3,"-")</f>
        <v>0</v>
      </c>
      <c r="I58" s="33">
        <f>IFERROR(_xll.KeyLookup($A$21,I$21,I$22,$A58)/$B$3,"-")</f>
        <v>0</v>
      </c>
      <c r="J58" s="33">
        <f>IFERROR(_xll.KeyLookup($A$21,J$21,J$22,$A58)/$B$3,"-")</f>
        <v>0</v>
      </c>
      <c r="K58" s="33">
        <f>IFERROR(_xll.KeyLookup($A$21,K$21,K$22,$A58)/$B$3,"-")</f>
        <v>0</v>
      </c>
      <c r="L58" s="33">
        <f>IFERROR(_xll.KeyLookup($A$21,L$21,L$22,$A58)/$B$3,"-")</f>
        <v>0</v>
      </c>
      <c r="M58" s="33">
        <f>IFERROR(_xll.KeyLookup($A$21,M$21,M$22,$A58)/$B$3,"-")</f>
        <v>0</v>
      </c>
      <c r="N58" s="33">
        <f>IFERROR(_xll.KeyLookup($A$21,N$21,N$22,$A58)/$B$3,"-")</f>
        <v>0</v>
      </c>
      <c r="O58" s="33">
        <f>IFERROR(_xll.KeyLookup($A$21,O$21,O$22,$A58)/$B$3,"-")</f>
        <v>0</v>
      </c>
      <c r="P58" s="33">
        <f>IFERROR(_xll.KeyLookup($A$21,P$21,P$22,$A58)/$B$3,"-")</f>
        <v>0</v>
      </c>
    </row>
    <row r="59" spans="1:16" x14ac:dyDescent="0.2">
      <c r="A59" s="1">
        <v>13103</v>
      </c>
      <c r="B59" s="1" t="str">
        <f>_xll.KeyName($A$21,A59)</f>
        <v>Depreciation of intangible assets</v>
      </c>
      <c r="C59" s="33">
        <f>IFERROR(_xll.KeyLookup($A$21,C$21,C$22,$A59)/$B$3,"-")</f>
        <v>0</v>
      </c>
      <c r="D59" s="33">
        <f>IFERROR(_xll.KeyLookup($A$21,D$21,D$22,$A59)/$B$3,"-")</f>
        <v>0</v>
      </c>
      <c r="E59" s="33">
        <f>IFERROR(_xll.KeyLookup($A$21,E$21,E$22,$A59)/$B$3,"-")</f>
        <v>0</v>
      </c>
      <c r="F59" s="33">
        <f>IFERROR(_xll.KeyLookup($A$21,F$21,F$22,$A59)/$B$3,"-")</f>
        <v>0</v>
      </c>
      <c r="G59" s="33">
        <f>IFERROR(_xll.KeyLookup($A$21,G$21,G$22,$A59)/$B$3,"-")</f>
        <v>0</v>
      </c>
      <c r="H59" s="33">
        <f>IFERROR(_xll.KeyLookup($A$21,H$21,H$22,$A59)/$B$3,"-")</f>
        <v>0</v>
      </c>
      <c r="I59" s="33">
        <f>IFERROR(_xll.KeyLookup($A$21,I$21,I$22,$A59)/$B$3,"-")</f>
        <v>0</v>
      </c>
      <c r="J59" s="33">
        <f>IFERROR(_xll.KeyLookup($A$21,J$21,J$22,$A59)/$B$3,"-")</f>
        <v>0</v>
      </c>
      <c r="K59" s="33">
        <f>IFERROR(_xll.KeyLookup($A$21,K$21,K$22,$A59)/$B$3,"-")</f>
        <v>0</v>
      </c>
      <c r="L59" s="33">
        <f>IFERROR(_xll.KeyLookup($A$21,L$21,L$22,$A59)/$B$3,"-")</f>
        <v>0</v>
      </c>
      <c r="M59" s="33">
        <f>IFERROR(_xll.KeyLookup($A$21,M$21,M$22,$A59)/$B$3,"-")</f>
        <v>0</v>
      </c>
      <c r="N59" s="33">
        <f>IFERROR(_xll.KeyLookup($A$21,N$21,N$22,$A59)/$B$3,"-")</f>
        <v>0</v>
      </c>
      <c r="O59" s="33">
        <f>IFERROR(_xll.KeyLookup($A$21,O$21,O$22,$A59)/$B$3,"-")</f>
        <v>0</v>
      </c>
      <c r="P59" s="33">
        <f>IFERROR(_xll.KeyLookup($A$21,P$21,P$22,$A59)/$B$3,"-")</f>
        <v>0</v>
      </c>
    </row>
    <row r="60" spans="1:16" x14ac:dyDescent="0.2">
      <c r="A60" s="20" t="s">
        <v>7</v>
      </c>
      <c r="B60" s="21" t="str">
        <f>_xll.KeyName($A$21,A60)</f>
        <v>EBIT</v>
      </c>
      <c r="C60" s="35">
        <f>IFERROR(_xll.KeyLookup($A$21,C$21,C$22,$A60)/$B$3,"-")</f>
        <v>-16.722999999999999</v>
      </c>
      <c r="D60" s="35">
        <f>IFERROR(_xll.KeyLookup($A$21,D$21,D$22,$A60)/$B$3,"-")</f>
        <v>14.513999999999999</v>
      </c>
      <c r="E60" s="35">
        <f>IFERROR(_xll.KeyLookup($A$21,E$21,E$22,$A60)/$B$3,"-")</f>
        <v>61.146999999999998</v>
      </c>
      <c r="F60" s="35">
        <f>IFERROR(_xll.KeyLookup($A$21,F$21,F$22,$A60)/$B$3,"-")</f>
        <v>-8.1509999999999998</v>
      </c>
      <c r="G60" s="35">
        <f>IFERROR(_xll.KeyLookup($A$21,G$21,G$22,$A60)/$B$3,"-")</f>
        <v>-22.998000000000001</v>
      </c>
      <c r="H60" s="35">
        <f>IFERROR(_xll.KeyLookup($A$21,H$21,H$22,$A60)/$B$3,"-")</f>
        <v>24.768999999999998</v>
      </c>
      <c r="I60" s="35">
        <f>IFERROR(_xll.KeyLookup($A$21,I$21,I$22,$A60)/$B$3,"-")</f>
        <v>82.168000000000006</v>
      </c>
      <c r="J60" s="35">
        <f>IFERROR(_xll.KeyLookup($A$21,J$21,J$22,$A60)/$B$3,"-")</f>
        <v>-10.928000000000001</v>
      </c>
      <c r="K60" s="35">
        <f>IFERROR(_xll.KeyLookup($A$21,K$21,K$22,$A60)/$B$3,"-")</f>
        <v>-30.6</v>
      </c>
      <c r="L60" s="35">
        <f>IFERROR(_xll.KeyLookup($A$21,L$21,L$22,$A60)/$B$3,"-")</f>
        <v>25.85</v>
      </c>
      <c r="M60" s="35">
        <f>IFERROR(_xll.KeyLookup($A$21,M$21,M$22,$A60)/$B$3,"-")</f>
        <v>102.515</v>
      </c>
      <c r="N60" s="35">
        <f>IFERROR(_xll.KeyLookup($A$21,N$21,N$22,$A60)/$B$3,"-")</f>
        <v>-18.756</v>
      </c>
      <c r="O60" s="35">
        <f>IFERROR(_xll.KeyLookup($A$21,O$21,O$22,$A60)/$B$3,"-")</f>
        <v>-19.279</v>
      </c>
      <c r="P60" s="35">
        <f>IFERROR(_xll.KeyLookup($A$21,P$21,P$22,$A60)/$B$3,"-")</f>
        <v>28.393000000000001</v>
      </c>
    </row>
    <row r="61" spans="1:16" x14ac:dyDescent="0.2">
      <c r="A61" s="1">
        <v>141</v>
      </c>
      <c r="B61" s="1" t="str">
        <f>_xll.KeyName($A$21,A61)</f>
        <v>Finance income</v>
      </c>
      <c r="C61" s="33">
        <f>IFERROR(_xll.KeyLookup($A$21,C$21,C$22,$A61)/$B$3,"-")</f>
        <v>0.93100000000000005</v>
      </c>
      <c r="D61" s="33">
        <f>IFERROR(_xll.KeyLookup($A$21,D$21,D$22,$A61)/$B$3,"-")</f>
        <v>0.63900000000000001</v>
      </c>
      <c r="E61" s="33">
        <f>IFERROR(_xll.KeyLookup($A$21,E$21,E$22,$A61)/$B$3,"-")</f>
        <v>0.86699999999999999</v>
      </c>
      <c r="F61" s="33">
        <f>IFERROR(_xll.KeyLookup($A$21,F$21,F$22,$A61)/$B$3,"-")</f>
        <v>0.97799999999999998</v>
      </c>
      <c r="G61" s="33">
        <f>IFERROR(_xll.KeyLookup($A$21,G$21,G$22,$A61)/$B$3,"-")</f>
        <v>0.69799999999999995</v>
      </c>
      <c r="H61" s="33">
        <f>IFERROR(_xll.KeyLookup($A$21,H$21,H$22,$A61)/$B$3,"-")</f>
        <v>0.52400000000000002</v>
      </c>
      <c r="I61" s="33">
        <f>IFERROR(_xll.KeyLookup($A$21,I$21,I$22,$A61)/$B$3,"-")</f>
        <v>0.313</v>
      </c>
      <c r="J61" s="33">
        <f>IFERROR(_xll.KeyLookup($A$21,J$21,J$22,$A61)/$B$3,"-")</f>
        <v>1.1759999999999999</v>
      </c>
      <c r="K61" s="33">
        <f>IFERROR(_xll.KeyLookup($A$21,K$21,K$22,$A61)/$B$3,"-")</f>
        <v>0.46</v>
      </c>
      <c r="L61" s="33">
        <f>IFERROR(_xll.KeyLookup($A$21,L$21,L$22,$A61)/$B$3,"-")</f>
        <v>0.74099999999999999</v>
      </c>
      <c r="M61" s="33">
        <f>IFERROR(_xll.KeyLookup($A$21,M$21,M$22,$A61)/$B$3,"-")</f>
        <v>0.29499999999999998</v>
      </c>
      <c r="N61" s="33">
        <f>IFERROR(_xll.KeyLookup($A$21,N$21,N$22,$A61)/$B$3,"-")</f>
        <v>0.93200000000000005</v>
      </c>
      <c r="O61" s="33">
        <f>IFERROR(_xll.KeyLookup($A$21,O$21,O$22,$A61)/$B$3,"-")</f>
        <v>0.57499999999999996</v>
      </c>
      <c r="P61" s="33">
        <f>IFERROR(_xll.KeyLookup($A$21,P$21,P$22,$A61)/$B$3,"-")</f>
        <v>0.81100000000000005</v>
      </c>
    </row>
    <row r="62" spans="1:16" hidden="1" outlineLevel="1" x14ac:dyDescent="0.2">
      <c r="A62" s="1">
        <v>14121</v>
      </c>
      <c r="B62" s="1" t="str">
        <f>_xll.KeyName($A$21,A62)</f>
        <v>Interest income on back deposits</v>
      </c>
      <c r="C62" s="33">
        <f>IFERROR(_xll.KeyLookup($A$21,C$21,C$22,$A62)/$B$3,"-")</f>
        <v>0.20300000000000001</v>
      </c>
      <c r="D62" s="33">
        <f>IFERROR(_xll.KeyLookup($A$21,D$21,D$22,$A62)/$B$3,"-")</f>
        <v>0.16600000000000001</v>
      </c>
      <c r="E62" s="33">
        <f>IFERROR(_xll.KeyLookup($A$21,E$21,E$22,$A62)/$B$3,"-")</f>
        <v>0.17899999999999999</v>
      </c>
      <c r="F62" s="33">
        <f>IFERROR(_xll.KeyLookup($A$21,F$21,F$22,$A62)/$B$3,"-")</f>
        <v>0.67100000000000004</v>
      </c>
      <c r="G62" s="33">
        <f>IFERROR(_xll.KeyLookup($A$21,G$21,G$22,$A62)/$B$3,"-")</f>
        <v>0.157</v>
      </c>
      <c r="H62" s="33">
        <f>IFERROR(_xll.KeyLookup($A$21,H$21,H$22,$A62)/$B$3,"-")</f>
        <v>0.185</v>
      </c>
      <c r="I62" s="33">
        <f>IFERROR(_xll.KeyLookup($A$21,I$21,I$22,$A62)/$B$3,"-")</f>
        <v>0.185</v>
      </c>
      <c r="J62" s="33">
        <f>IFERROR(_xll.KeyLookup($A$21,J$21,J$22,$A62)/$B$3,"-")</f>
        <v>1.0109999999999999</v>
      </c>
      <c r="K62" s="33">
        <f>IFERROR(_xll.KeyLookup($A$21,K$21,K$22,$A62)/$B$3,"-")</f>
        <v>0.33</v>
      </c>
      <c r="L62" s="33">
        <f>IFERROR(_xll.KeyLookup($A$21,L$21,L$22,$A62)/$B$3,"-")</f>
        <v>0.13300000000000001</v>
      </c>
      <c r="M62" s="33">
        <f>IFERROR(_xll.KeyLookup($A$21,M$21,M$22,$A62)/$B$3,"-")</f>
        <v>0.14899999999999999</v>
      </c>
      <c r="N62" s="33">
        <f>IFERROR(_xll.KeyLookup($A$21,N$21,N$22,$A62)/$B$3,"-")</f>
        <v>0.70699999999999996</v>
      </c>
      <c r="O62" s="33">
        <f>IFERROR(_xll.KeyLookup($A$21,O$21,O$22,$A62)/$B$3,"-")</f>
        <v>0.437</v>
      </c>
      <c r="P62" s="33">
        <f>IFERROR(_xll.KeyLookup($A$21,P$21,P$22,$A62)/$B$3,"-")</f>
        <v>0.56899999999999995</v>
      </c>
    </row>
    <row r="63" spans="1:16" hidden="1" outlineLevel="1" x14ac:dyDescent="0.2">
      <c r="A63" s="1">
        <v>14127</v>
      </c>
      <c r="B63" s="1" t="str">
        <f>_xll.KeyName($A$21,A63)</f>
        <v>Profit from sale of investments</v>
      </c>
      <c r="C63" s="33">
        <f>IFERROR(_xll.KeyLookup($A$21,C$21,C$22,$A63)/$B$3,"-")</f>
        <v>0</v>
      </c>
      <c r="D63" s="33">
        <f>IFERROR(_xll.KeyLookup($A$21,D$21,D$22,$A63)/$B$3,"-")</f>
        <v>0</v>
      </c>
      <c r="E63" s="33">
        <f>IFERROR(_xll.KeyLookup($A$21,E$21,E$22,$A63)/$B$3,"-")</f>
        <v>0</v>
      </c>
      <c r="F63" s="33">
        <f>IFERROR(_xll.KeyLookup($A$21,F$21,F$22,$A63)/$B$3,"-")</f>
        <v>0</v>
      </c>
      <c r="G63" s="33">
        <f>IFERROR(_xll.KeyLookup($A$21,G$21,G$22,$A63)/$B$3,"-")</f>
        <v>0</v>
      </c>
      <c r="H63" s="33">
        <f>IFERROR(_xll.KeyLookup($A$21,H$21,H$22,$A63)/$B$3,"-")</f>
        <v>0</v>
      </c>
      <c r="I63" s="33">
        <f>IFERROR(_xll.KeyLookup($A$21,I$21,I$22,$A63)/$B$3,"-")</f>
        <v>0</v>
      </c>
      <c r="J63" s="33">
        <f>IFERROR(_xll.KeyLookup($A$21,J$21,J$22,$A63)/$B$3,"-")</f>
        <v>0</v>
      </c>
      <c r="K63" s="33">
        <f>IFERROR(_xll.KeyLookup($A$21,K$21,K$22,$A63)/$B$3,"-")</f>
        <v>0</v>
      </c>
      <c r="L63" s="33">
        <f>IFERROR(_xll.KeyLookup($A$21,L$21,L$22,$A63)/$B$3,"-")</f>
        <v>0</v>
      </c>
      <c r="M63" s="33">
        <f>IFERROR(_xll.KeyLookup($A$21,M$21,M$22,$A63)/$B$3,"-")</f>
        <v>0</v>
      </c>
      <c r="N63" s="33">
        <f>IFERROR(_xll.KeyLookup($A$21,N$21,N$22,$A63)/$B$3,"-")</f>
        <v>0.20899999999999999</v>
      </c>
      <c r="O63" s="33">
        <f>IFERROR(_xll.KeyLookup($A$21,O$21,O$22,$A63)/$B$3,"-")</f>
        <v>0</v>
      </c>
      <c r="P63" s="33">
        <f>IFERROR(_xll.KeyLookup($A$21,P$21,P$22,$A63)/$B$3,"-")</f>
        <v>0</v>
      </c>
    </row>
    <row r="64" spans="1:16" hidden="1" outlineLevel="1" x14ac:dyDescent="0.2">
      <c r="A64" s="1">
        <v>14128</v>
      </c>
      <c r="B64" s="1" t="str">
        <f>_xll.KeyName($A$21,A64)</f>
        <v>Other interest income</v>
      </c>
      <c r="C64" s="33">
        <f>IFERROR(_xll.KeyLookup($A$21,C$21,C$22,$A64)/$B$3,"-")</f>
        <v>0.72799999999999998</v>
      </c>
      <c r="D64" s="33">
        <f>IFERROR(_xll.KeyLookup($A$21,D$21,D$22,$A64)/$B$3,"-")</f>
        <v>0.47299999999999998</v>
      </c>
      <c r="E64" s="33">
        <f>IFERROR(_xll.KeyLookup($A$21,E$21,E$22,$A64)/$B$3,"-")</f>
        <v>0.68799999999999994</v>
      </c>
      <c r="F64" s="33">
        <f>IFERROR(_xll.KeyLookup($A$21,F$21,F$22,$A64)/$B$3,"-")</f>
        <v>0.307</v>
      </c>
      <c r="G64" s="33">
        <f>IFERROR(_xll.KeyLookup($A$21,G$21,G$22,$A64)/$B$3,"-")</f>
        <v>0.54100000000000004</v>
      </c>
      <c r="H64" s="33">
        <f>IFERROR(_xll.KeyLookup($A$21,H$21,H$22,$A64)/$B$3,"-")</f>
        <v>0.33900000000000002</v>
      </c>
      <c r="I64" s="33">
        <f>IFERROR(_xll.KeyLookup($A$21,I$21,I$22,$A64)/$B$3,"-")</f>
        <v>0.128</v>
      </c>
      <c r="J64" s="33">
        <f>IFERROR(_xll.KeyLookup($A$21,J$21,J$22,$A64)/$B$3,"-")</f>
        <v>0.16500000000000001</v>
      </c>
      <c r="K64" s="33">
        <f>IFERROR(_xll.KeyLookup($A$21,K$21,K$22,$A64)/$B$3,"-")</f>
        <v>0.13</v>
      </c>
      <c r="L64" s="33">
        <f>IFERROR(_xll.KeyLookup($A$21,L$21,L$22,$A64)/$B$3,"-")</f>
        <v>0.60799999999999998</v>
      </c>
      <c r="M64" s="33">
        <f>IFERROR(_xll.KeyLookup($A$21,M$21,M$22,$A64)/$B$3,"-")</f>
        <v>0.14599999999999999</v>
      </c>
      <c r="N64" s="33">
        <f>IFERROR(_xll.KeyLookup($A$21,N$21,N$22,$A64)/$B$3,"-")</f>
        <v>1.6E-2</v>
      </c>
      <c r="O64" s="33">
        <f>IFERROR(_xll.KeyLookup($A$21,O$21,O$22,$A64)/$B$3,"-")</f>
        <v>0.13800000000000001</v>
      </c>
      <c r="P64" s="33">
        <f>IFERROR(_xll.KeyLookup($A$21,P$21,P$22,$A64)/$B$3,"-")</f>
        <v>0.24199999999999999</v>
      </c>
    </row>
    <row r="65" spans="1:16" collapsed="1" x14ac:dyDescent="0.2">
      <c r="A65" s="1">
        <v>142</v>
      </c>
      <c r="B65" s="1" t="str">
        <f>_xll.KeyName($A$21,A65)</f>
        <v>Finance cost</v>
      </c>
      <c r="C65" s="33">
        <f>IFERROR(_xll.KeyLookup($A$21,C$21,C$22,$A65)/$B$3,"-")</f>
        <v>-3.2639999999999998</v>
      </c>
      <c r="D65" s="33">
        <f>IFERROR(_xll.KeyLookup($A$21,D$21,D$22,$A65)/$B$3,"-")</f>
        <v>-2.286</v>
      </c>
      <c r="E65" s="33">
        <f>IFERROR(_xll.KeyLookup($A$21,E$21,E$22,$A65)/$B$3,"-")</f>
        <v>-2.1579999999999999</v>
      </c>
      <c r="F65" s="33">
        <f>IFERROR(_xll.KeyLookup($A$21,F$21,F$22,$A65)/$B$3,"-")</f>
        <v>-2.843</v>
      </c>
      <c r="G65" s="33">
        <f>IFERROR(_xll.KeyLookup($A$21,G$21,G$22,$A65)/$B$3,"-")</f>
        <v>-2.5209999999999999</v>
      </c>
      <c r="H65" s="33">
        <f>IFERROR(_xll.KeyLookup($A$21,H$21,H$22,$A65)/$B$3,"-")</f>
        <v>-1.891</v>
      </c>
      <c r="I65" s="33">
        <f>IFERROR(_xll.KeyLookup($A$21,I$21,I$22,$A65)/$B$3,"-")</f>
        <v>-2.0379999999999998</v>
      </c>
      <c r="J65" s="33">
        <f>IFERROR(_xll.KeyLookup($A$21,J$21,J$22,$A65)/$B$3,"-")</f>
        <v>-2.2519999999999998</v>
      </c>
      <c r="K65" s="33">
        <f>IFERROR(_xll.KeyLookup($A$21,K$21,K$22,$A65)/$B$3,"-")</f>
        <v>-1.8979999999999999</v>
      </c>
      <c r="L65" s="33">
        <f>IFERROR(_xll.KeyLookup($A$21,L$21,L$22,$A65)/$B$3,"-")</f>
        <v>-2.0310000000000001</v>
      </c>
      <c r="M65" s="33">
        <f>IFERROR(_xll.KeyLookup($A$21,M$21,M$22,$A65)/$B$3,"-")</f>
        <v>-1.109</v>
      </c>
      <c r="N65" s="33">
        <f>IFERROR(_xll.KeyLookup($A$21,N$21,N$22,$A65)/$B$3,"-")</f>
        <v>-1.0409999999999999</v>
      </c>
      <c r="O65" s="33">
        <f>IFERROR(_xll.KeyLookup($A$21,O$21,O$22,$A65)/$B$3,"-")</f>
        <v>-1.542</v>
      </c>
      <c r="P65" s="33">
        <f>IFERROR(_xll.KeyLookup($A$21,P$21,P$22,$A65)/$B$3,"-")</f>
        <v>-1.74</v>
      </c>
    </row>
    <row r="66" spans="1:16" hidden="1" outlineLevel="1" x14ac:dyDescent="0.2">
      <c r="A66" s="1">
        <v>14241</v>
      </c>
      <c r="B66" s="1" t="str">
        <f>_xll.KeyName($A$21,A66)</f>
        <v>Interest expenses on loans and borrowings</v>
      </c>
      <c r="C66" s="33">
        <f>IFERROR(_xll.KeyLookup($A$21,C$21,C$22,$A66)/$B$3,"-")</f>
        <v>-3.1040000000000001</v>
      </c>
      <c r="D66" s="33">
        <f>IFERROR(_xll.KeyLookup($A$21,D$21,D$22,$A66)/$B$3,"-")</f>
        <v>-2.351</v>
      </c>
      <c r="E66" s="33">
        <f>IFERROR(_xll.KeyLookup($A$21,E$21,E$22,$A66)/$B$3,"-")</f>
        <v>-2.0049999999999999</v>
      </c>
      <c r="F66" s="33">
        <f>IFERROR(_xll.KeyLookup($A$21,F$21,F$22,$A66)/$B$3,"-")</f>
        <v>-2.44</v>
      </c>
      <c r="G66" s="33">
        <f>IFERROR(_xll.KeyLookup($A$21,G$21,G$22,$A66)/$B$3,"-")</f>
        <v>-2.1949999999999998</v>
      </c>
      <c r="H66" s="33">
        <f>IFERROR(_xll.KeyLookup($A$21,H$21,H$22,$A66)/$B$3,"-")</f>
        <v>-1.8069999999999999</v>
      </c>
      <c r="I66" s="33">
        <f>IFERROR(_xll.KeyLookup($A$21,I$21,I$22,$A66)/$B$3,"-")</f>
        <v>-1.589</v>
      </c>
      <c r="J66" s="33">
        <f>IFERROR(_xll.KeyLookup($A$21,J$21,J$22,$A66)/$B$3,"-")</f>
        <v>-2.2690000000000001</v>
      </c>
      <c r="K66" s="33">
        <f>IFERROR(_xll.KeyLookup($A$21,K$21,K$22,$A66)/$B$3,"-")</f>
        <v>-1.7350000000000001</v>
      </c>
      <c r="L66" s="33">
        <f>IFERROR(_xll.KeyLookup($A$21,L$21,L$22,$A66)/$B$3,"-")</f>
        <v>-1.829</v>
      </c>
      <c r="M66" s="33">
        <f>IFERROR(_xll.KeyLookup($A$21,M$21,M$22,$A66)/$B$3,"-")</f>
        <v>-0.95899999999999996</v>
      </c>
      <c r="N66" s="33">
        <f>IFERROR(_xll.KeyLookup($A$21,N$21,N$22,$A66)/$B$3,"-")</f>
        <v>-0.79500000000000004</v>
      </c>
      <c r="O66" s="33">
        <f>IFERROR(_xll.KeyLookup($A$21,O$21,O$22,$A66)/$B$3,"-")</f>
        <v>-1.3640000000000001</v>
      </c>
      <c r="P66" s="33">
        <f>IFERROR(_xll.KeyLookup($A$21,P$21,P$22,$A66)/$B$3,"-")</f>
        <v>-1.5409999999999999</v>
      </c>
    </row>
    <row r="67" spans="1:16" hidden="1" outlineLevel="1" x14ac:dyDescent="0.2">
      <c r="A67" s="1">
        <v>14244</v>
      </c>
      <c r="B67" s="1" t="str">
        <f>_xll.KeyName($A$21,A67)</f>
        <v>Loss from sale of shares</v>
      </c>
      <c r="C67" s="33">
        <f>IFERROR(_xll.KeyLookup($A$21,C$21,C$22,$A67)/$B$3,"-")</f>
        <v>0</v>
      </c>
      <c r="D67" s="33">
        <f>IFERROR(_xll.KeyLookup($A$21,D$21,D$22,$A67)/$B$3,"-")</f>
        <v>0</v>
      </c>
      <c r="E67" s="33">
        <f>IFERROR(_xll.KeyLookup($A$21,E$21,E$22,$A67)/$B$3,"-")</f>
        <v>0</v>
      </c>
      <c r="F67" s="33">
        <f>IFERROR(_xll.KeyLookup($A$21,F$21,F$22,$A67)/$B$3,"-")</f>
        <v>-0.34899999999999998</v>
      </c>
      <c r="G67" s="33">
        <f>IFERROR(_xll.KeyLookup($A$21,G$21,G$22,$A67)/$B$3,"-")</f>
        <v>0</v>
      </c>
      <c r="H67" s="33">
        <f>IFERROR(_xll.KeyLookup($A$21,H$21,H$22,$A67)/$B$3,"-")</f>
        <v>0</v>
      </c>
      <c r="I67" s="33">
        <f>IFERROR(_xll.KeyLookup($A$21,I$21,I$22,$A67)/$B$3,"-")</f>
        <v>0</v>
      </c>
      <c r="J67" s="33">
        <f>IFERROR(_xll.KeyLookup($A$21,J$21,J$22,$A67)/$B$3,"-")</f>
        <v>0</v>
      </c>
      <c r="K67" s="33">
        <f>IFERROR(_xll.KeyLookup($A$21,K$21,K$22,$A67)/$B$3,"-")</f>
        <v>0</v>
      </c>
      <c r="L67" s="33">
        <f>IFERROR(_xll.KeyLookup($A$21,L$21,L$22,$A67)/$B$3,"-")</f>
        <v>0</v>
      </c>
      <c r="M67" s="33">
        <f>IFERROR(_xll.KeyLookup($A$21,M$21,M$22,$A67)/$B$3,"-")</f>
        <v>0</v>
      </c>
      <c r="N67" s="33">
        <f>IFERROR(_xll.KeyLookup($A$21,N$21,N$22,$A67)/$B$3,"-")</f>
        <v>0</v>
      </c>
      <c r="O67" s="33">
        <f>IFERROR(_xll.KeyLookup($A$21,O$21,O$22,$A67)/$B$3,"-")</f>
        <v>0</v>
      </c>
      <c r="P67" s="33">
        <f>IFERROR(_xll.KeyLookup($A$21,P$21,P$22,$A67)/$B$3,"-")</f>
        <v>0</v>
      </c>
    </row>
    <row r="68" spans="1:16" hidden="1" outlineLevel="1" x14ac:dyDescent="0.2">
      <c r="A68" s="1">
        <v>14249</v>
      </c>
      <c r="B68" s="1" t="str">
        <f>_xll.KeyName($A$21,A68)</f>
        <v>Other interest expenses</v>
      </c>
      <c r="C68" s="33">
        <f>IFERROR(_xll.KeyLookup($A$21,C$21,C$22,$A68)/$B$3,"-")</f>
        <v>-0.16</v>
      </c>
      <c r="D68" s="33">
        <f>IFERROR(_xll.KeyLookup($A$21,D$21,D$22,$A68)/$B$3,"-")</f>
        <v>6.5000000000000002E-2</v>
      </c>
      <c r="E68" s="33">
        <f>IFERROR(_xll.KeyLookup($A$21,E$21,E$22,$A68)/$B$3,"-")</f>
        <v>-0.153</v>
      </c>
      <c r="F68" s="33">
        <f>IFERROR(_xll.KeyLookup($A$21,F$21,F$22,$A68)/$B$3,"-")</f>
        <v>-5.3999999999999999E-2</v>
      </c>
      <c r="G68" s="33">
        <f>IFERROR(_xll.KeyLookup($A$21,G$21,G$22,$A68)/$B$3,"-")</f>
        <v>-0.32600000000000001</v>
      </c>
      <c r="H68" s="33">
        <f>IFERROR(_xll.KeyLookup($A$21,H$21,H$22,$A68)/$B$3,"-")</f>
        <v>-8.4000000000000005E-2</v>
      </c>
      <c r="I68" s="33">
        <f>IFERROR(_xll.KeyLookup($A$21,I$21,I$22,$A68)/$B$3,"-")</f>
        <v>-0.44900000000000001</v>
      </c>
      <c r="J68" s="33">
        <f>IFERROR(_xll.KeyLookup($A$21,J$21,J$22,$A68)/$B$3,"-")</f>
        <v>1.7000000000000001E-2</v>
      </c>
      <c r="K68" s="33">
        <f>IFERROR(_xll.KeyLookup($A$21,K$21,K$22,$A68)/$B$3,"-")</f>
        <v>-0.16300000000000001</v>
      </c>
      <c r="L68" s="33">
        <f>IFERROR(_xll.KeyLookup($A$21,L$21,L$22,$A68)/$B$3,"-")</f>
        <v>-0.20200000000000001</v>
      </c>
      <c r="M68" s="33">
        <f>IFERROR(_xll.KeyLookup($A$21,M$21,M$22,$A68)/$B$3,"-")</f>
        <v>-0.15</v>
      </c>
      <c r="N68" s="33">
        <f>IFERROR(_xll.KeyLookup($A$21,N$21,N$22,$A68)/$B$3,"-")</f>
        <v>-0.246</v>
      </c>
      <c r="O68" s="33">
        <f>IFERROR(_xll.KeyLookup($A$21,O$21,O$22,$A68)/$B$3,"-")</f>
        <v>-0.17799999999999999</v>
      </c>
      <c r="P68" s="33">
        <f>IFERROR(_xll.KeyLookup($A$21,P$21,P$22,$A68)/$B$3,"-")</f>
        <v>-0.19900000000000001</v>
      </c>
    </row>
    <row r="69" spans="1:16" collapsed="1" x14ac:dyDescent="0.2">
      <c r="A69" s="20" t="s">
        <v>8</v>
      </c>
      <c r="B69" s="21" t="str">
        <f>_xll.KeyName($A$21,A69)</f>
        <v>Net Financing Cost</v>
      </c>
      <c r="C69" s="35">
        <f>IFERROR(_xll.KeyLookup($A$21,C$21,C$22,$A69)/$B$3,"-")</f>
        <v>-2.3330000000000002</v>
      </c>
      <c r="D69" s="35">
        <f>IFERROR(_xll.KeyLookup($A$21,D$21,D$22,$A69)/$B$3,"-")</f>
        <v>-1.647</v>
      </c>
      <c r="E69" s="35">
        <f>IFERROR(_xll.KeyLookup($A$21,E$21,E$22,$A69)/$B$3,"-")</f>
        <v>-1.2909999999999999</v>
      </c>
      <c r="F69" s="35">
        <f>IFERROR(_xll.KeyLookup($A$21,F$21,F$22,$A69)/$B$3,"-")</f>
        <v>-1.865</v>
      </c>
      <c r="G69" s="35">
        <f>IFERROR(_xll.KeyLookup($A$21,G$21,G$22,$A69)/$B$3,"-")</f>
        <v>-1.823</v>
      </c>
      <c r="H69" s="35">
        <f>IFERROR(_xll.KeyLookup($A$21,H$21,H$22,$A69)/$B$3,"-")</f>
        <v>-1.367</v>
      </c>
      <c r="I69" s="35">
        <f>IFERROR(_xll.KeyLookup($A$21,I$21,I$22,$A69)/$B$3,"-")</f>
        <v>-1.7250000000000001</v>
      </c>
      <c r="J69" s="35">
        <f>IFERROR(_xll.KeyLookup($A$21,J$21,J$22,$A69)/$B$3,"-")</f>
        <v>-1.0760000000000001</v>
      </c>
      <c r="K69" s="35">
        <f>IFERROR(_xll.KeyLookup($A$21,K$21,K$22,$A69)/$B$3,"-")</f>
        <v>-1.4379999999999999</v>
      </c>
      <c r="L69" s="35">
        <f>IFERROR(_xll.KeyLookup($A$21,L$21,L$22,$A69)/$B$3,"-")</f>
        <v>-1.29</v>
      </c>
      <c r="M69" s="35">
        <f>IFERROR(_xll.KeyLookup($A$21,M$21,M$22,$A69)/$B$3,"-")</f>
        <v>-0.81399999999999995</v>
      </c>
      <c r="N69" s="35">
        <f>IFERROR(_xll.KeyLookup($A$21,N$21,N$22,$A69)/$B$3,"-")</f>
        <v>-0.109</v>
      </c>
      <c r="O69" s="35">
        <f>IFERROR(_xll.KeyLookup($A$21,O$21,O$22,$A69)/$B$3,"-")</f>
        <v>-0.96699999999999997</v>
      </c>
      <c r="P69" s="35">
        <f>IFERROR(_xll.KeyLookup($A$21,P$21,P$22,$A69)/$B$3,"-")</f>
        <v>-0.92900000000000005</v>
      </c>
    </row>
    <row r="70" spans="1:16" x14ac:dyDescent="0.2">
      <c r="A70" s="1">
        <v>14361</v>
      </c>
      <c r="B70" s="1" t="str">
        <f>_xll.KeyName($A$21,A70)</f>
        <v>Exchange rate difference</v>
      </c>
      <c r="C70" s="33">
        <f>IFERROR(_xll.KeyLookup($A$21,C$21,C$22,$A70)/$B$3,"-")</f>
        <v>2.472</v>
      </c>
      <c r="D70" s="33">
        <f>IFERROR(_xll.KeyLookup($A$21,D$21,D$22,$A70)/$B$3,"-")</f>
        <v>4.9640000000000004</v>
      </c>
      <c r="E70" s="33">
        <f>IFERROR(_xll.KeyLookup($A$21,E$21,E$22,$A70)/$B$3,"-")</f>
        <v>5.0579999999999998</v>
      </c>
      <c r="F70" s="33">
        <f>IFERROR(_xll.KeyLookup($A$21,F$21,F$22,$A70)/$B$3,"-")</f>
        <v>1.669</v>
      </c>
      <c r="G70" s="33">
        <f>IFERROR(_xll.KeyLookup($A$21,G$21,G$22,$A70)/$B$3,"-")</f>
        <v>1.8520000000000001</v>
      </c>
      <c r="H70" s="33">
        <f>IFERROR(_xll.KeyLookup($A$21,H$21,H$22,$A70)/$B$3,"-")</f>
        <v>-4.2000000000000003E-2</v>
      </c>
      <c r="I70" s="33">
        <f>IFERROR(_xll.KeyLookup($A$21,I$21,I$22,$A70)/$B$3,"-")</f>
        <v>1.419</v>
      </c>
      <c r="J70" s="33">
        <f>IFERROR(_xll.KeyLookup($A$21,J$21,J$22,$A70)/$B$3,"-")</f>
        <v>0.83699999999999997</v>
      </c>
      <c r="K70" s="33">
        <f>IFERROR(_xll.KeyLookup($A$21,K$21,K$22,$A70)/$B$3,"-")</f>
        <v>-1.2490000000000001</v>
      </c>
      <c r="L70" s="33">
        <f>IFERROR(_xll.KeyLookup($A$21,L$21,L$22,$A70)/$B$3,"-")</f>
        <v>0.214</v>
      </c>
      <c r="M70" s="33">
        <f>IFERROR(_xll.KeyLookup($A$21,M$21,M$22,$A70)/$B$3,"-")</f>
        <v>4.46</v>
      </c>
      <c r="N70" s="33">
        <f>IFERROR(_xll.KeyLookup($A$21,N$21,N$22,$A70)/$B$3,"-")</f>
        <v>1.341</v>
      </c>
      <c r="O70" s="33">
        <f>IFERROR(_xll.KeyLookup($A$21,O$21,O$22,$A70)/$B$3,"-")</f>
        <v>1.8520000000000001</v>
      </c>
      <c r="P70" s="33">
        <f>IFERROR(_xll.KeyLookup($A$21,P$21,P$22,$A70)/$B$3,"-")</f>
        <v>0.45900000000000002</v>
      </c>
    </row>
    <row r="71" spans="1:16" x14ac:dyDescent="0.2">
      <c r="A71" s="1">
        <v>14501</v>
      </c>
      <c r="B71" s="1" t="str">
        <f>_xll.KeyName($A$21,A71)</f>
        <v>Share of (loss) profit of associates</v>
      </c>
      <c r="C71" s="33">
        <f>IFERROR(_xll.KeyLookup($A$21,C$21,C$22,$A71)/$B$3,"-")</f>
        <v>-4.2999999999999997E-2</v>
      </c>
      <c r="D71" s="33">
        <f>IFERROR(_xll.KeyLookup($A$21,D$21,D$22,$A71)/$B$3,"-")</f>
        <v>-0.02</v>
      </c>
      <c r="E71" s="33">
        <f>IFERROR(_xll.KeyLookup($A$21,E$21,E$22,$A71)/$B$3,"-")</f>
        <v>-0.157</v>
      </c>
      <c r="F71" s="33">
        <f>IFERROR(_xll.KeyLookup($A$21,F$21,F$22,$A71)/$B$3,"-")</f>
        <v>-0.14599999999999999</v>
      </c>
      <c r="G71" s="33">
        <f>IFERROR(_xll.KeyLookup($A$21,G$21,G$22,$A71)/$B$3,"-")</f>
        <v>4.5999999999999999E-2</v>
      </c>
      <c r="H71" s="33">
        <f>IFERROR(_xll.KeyLookup($A$21,H$21,H$22,$A71)/$B$3,"-")</f>
        <v>-5.5E-2</v>
      </c>
      <c r="I71" s="33">
        <f>IFERROR(_xll.KeyLookup($A$21,I$21,I$22,$A71)/$B$3,"-")</f>
        <v>-1.0999999999999999E-2</v>
      </c>
      <c r="J71" s="33">
        <f>IFERROR(_xll.KeyLookup($A$21,J$21,J$22,$A71)/$B$3,"-")</f>
        <v>-1.7999999999999999E-2</v>
      </c>
      <c r="K71" s="33">
        <f>IFERROR(_xll.KeyLookup($A$21,K$21,K$22,$A71)/$B$3,"-")</f>
        <v>-7.4999999999999997E-2</v>
      </c>
      <c r="L71" s="33">
        <f>IFERROR(_xll.KeyLookup($A$21,L$21,L$22,$A71)/$B$3,"-")</f>
        <v>2E-3</v>
      </c>
      <c r="M71" s="33">
        <f>IFERROR(_xll.KeyLookup($A$21,M$21,M$22,$A71)/$B$3,"-")</f>
        <v>2.8000000000000001E-2</v>
      </c>
      <c r="N71" s="33">
        <f>IFERROR(_xll.KeyLookup($A$21,N$21,N$22,$A71)/$B$3,"-")</f>
        <v>-0.17100000000000001</v>
      </c>
      <c r="O71" s="33">
        <f>IFERROR(_xll.KeyLookup($A$21,O$21,O$22,$A71)/$B$3,"-")</f>
        <v>0.09</v>
      </c>
      <c r="P71" s="33">
        <f>IFERROR(_xll.KeyLookup($A$21,P$21,P$22,$A71)/$B$3,"-")</f>
        <v>0</v>
      </c>
    </row>
    <row r="72" spans="1:16" x14ac:dyDescent="0.2">
      <c r="A72" s="20" t="s">
        <v>9</v>
      </c>
      <c r="B72" s="21" t="str">
        <f>_xll.KeyName($A$21,A72)</f>
        <v>EBT</v>
      </c>
      <c r="C72" s="35">
        <f>IFERROR(_xll.KeyLookup($A$21,C$21,C$22,$A72)/$B$3,"-")</f>
        <v>-16.626999999999999</v>
      </c>
      <c r="D72" s="35">
        <f>IFERROR(_xll.KeyLookup($A$21,D$21,D$22,$A72)/$B$3,"-")</f>
        <v>17.811</v>
      </c>
      <c r="E72" s="35">
        <f>IFERROR(_xll.KeyLookup($A$21,E$21,E$22,$A72)/$B$3,"-")</f>
        <v>64.757000000000005</v>
      </c>
      <c r="F72" s="35">
        <f>IFERROR(_xll.KeyLookup($A$21,F$21,F$22,$A72)/$B$3,"-")</f>
        <v>-8.4930000000000003</v>
      </c>
      <c r="G72" s="35">
        <f>IFERROR(_xll.KeyLookup($A$21,G$21,G$22,$A72)/$B$3,"-")</f>
        <v>-22.922999999999998</v>
      </c>
      <c r="H72" s="35">
        <f>IFERROR(_xll.KeyLookup($A$21,H$21,H$22,$A72)/$B$3,"-")</f>
        <v>23.305</v>
      </c>
      <c r="I72" s="35">
        <f>IFERROR(_xll.KeyLookup($A$21,I$21,I$22,$A72)/$B$3,"-")</f>
        <v>81.850999999999999</v>
      </c>
      <c r="J72" s="35">
        <f>IFERROR(_xll.KeyLookup($A$21,J$21,J$22,$A72)/$B$3,"-")</f>
        <v>-11.185</v>
      </c>
      <c r="K72" s="35">
        <f>IFERROR(_xll.KeyLookup($A$21,K$21,K$22,$A72)/$B$3,"-")</f>
        <v>-33.362000000000002</v>
      </c>
      <c r="L72" s="35">
        <f>IFERROR(_xll.KeyLookup($A$21,L$21,L$22,$A72)/$B$3,"-")</f>
        <v>24.776</v>
      </c>
      <c r="M72" s="35">
        <f>IFERROR(_xll.KeyLookup($A$21,M$21,M$22,$A72)/$B$3,"-")</f>
        <v>106.18899999999999</v>
      </c>
      <c r="N72" s="35">
        <f>IFERROR(_xll.KeyLookup($A$21,N$21,N$22,$A72)/$B$3,"-")</f>
        <v>-17.695</v>
      </c>
      <c r="O72" s="35">
        <f>IFERROR(_xll.KeyLookup($A$21,O$21,O$22,$A72)/$B$3,"-")</f>
        <v>-18.303999999999998</v>
      </c>
      <c r="P72" s="35">
        <f>IFERROR(_xll.KeyLookup($A$21,P$21,P$22,$A72)/$B$3,"-")</f>
        <v>27.922999999999998</v>
      </c>
    </row>
    <row r="73" spans="1:16" x14ac:dyDescent="0.2">
      <c r="A73" s="1">
        <v>15171</v>
      </c>
      <c r="B73" s="1" t="str">
        <f>_xll.KeyName($A$21,A73)</f>
        <v>Income tax</v>
      </c>
      <c r="C73" s="33">
        <f>IFERROR(_xll.KeyLookup($A$21,C$21,C$22,$A73)/$B$3,"-")</f>
        <v>3.4380000000000002</v>
      </c>
      <c r="D73" s="33">
        <f>IFERROR(_xll.KeyLookup($A$21,D$21,D$22,$A73)/$B$3,"-")</f>
        <v>-3.492</v>
      </c>
      <c r="E73" s="33">
        <f>IFERROR(_xll.KeyLookup($A$21,E$21,E$22,$A73)/$B$3,"-")</f>
        <v>-13.395</v>
      </c>
      <c r="F73" s="33">
        <f>IFERROR(_xll.KeyLookup($A$21,F$21,F$22,$A73)/$B$3,"-")</f>
        <v>0.27600000000000002</v>
      </c>
      <c r="G73" s="33">
        <f>IFERROR(_xll.KeyLookup($A$21,G$21,G$22,$A73)/$B$3,"-")</f>
        <v>4.6340000000000003</v>
      </c>
      <c r="H73" s="33">
        <f>IFERROR(_xll.KeyLookup($A$21,H$21,H$22,$A73)/$B$3,"-")</f>
        <v>-4.8150000000000004</v>
      </c>
      <c r="I73" s="33">
        <f>IFERROR(_xll.KeyLookup($A$21,I$21,I$22,$A73)/$B$3,"-")</f>
        <v>-16.526</v>
      </c>
      <c r="J73" s="33">
        <f>IFERROR(_xll.KeyLookup($A$21,J$21,J$22,$A73)/$B$3,"-")</f>
        <v>2.077</v>
      </c>
      <c r="K73" s="33">
        <f>IFERROR(_xll.KeyLookup($A$21,K$21,K$22,$A73)/$B$3,"-")</f>
        <v>6.641</v>
      </c>
      <c r="L73" s="33">
        <f>IFERROR(_xll.KeyLookup($A$21,L$21,L$22,$A73)/$B$3,"-")</f>
        <v>-4.976</v>
      </c>
      <c r="M73" s="33">
        <f>IFERROR(_xll.KeyLookup($A$21,M$21,M$22,$A73)/$B$3,"-")</f>
        <v>-20.388000000000002</v>
      </c>
      <c r="N73" s="33">
        <f>IFERROR(_xll.KeyLookup($A$21,N$21,N$22,$A73)/$B$3,"-")</f>
        <v>3.24</v>
      </c>
      <c r="O73" s="33">
        <f>IFERROR(_xll.KeyLookup($A$21,O$21,O$22,$A73)/$B$3,"-")</f>
        <v>3.7519999999999998</v>
      </c>
      <c r="P73" s="33">
        <f>IFERROR(_xll.KeyLookup($A$21,P$21,P$22,$A73)/$B$3,"-")</f>
        <v>-5.5579999999999998</v>
      </c>
    </row>
    <row r="74" spans="1:16" x14ac:dyDescent="0.2">
      <c r="A74" s="1">
        <v>16181</v>
      </c>
      <c r="B74" s="1" t="str">
        <f>_xll.KeyName($A$21,A74)</f>
        <v>Profit/(loss) from discontinued operation, net of tax</v>
      </c>
      <c r="C74" s="33">
        <f>IFERROR(_xll.KeyLookup($A$21,C$21,C$22,$A74)/$B$3,"-")</f>
        <v>0</v>
      </c>
      <c r="D74" s="33">
        <f>IFERROR(_xll.KeyLookup($A$21,D$21,D$22,$A74)/$B$3,"-")</f>
        <v>0</v>
      </c>
      <c r="E74" s="33">
        <f>IFERROR(_xll.KeyLookup($A$21,E$21,E$22,$A74)/$B$3,"-")</f>
        <v>0</v>
      </c>
      <c r="F74" s="33">
        <f>IFERROR(_xll.KeyLookup($A$21,F$21,F$22,$A74)/$B$3,"-")</f>
        <v>0</v>
      </c>
      <c r="G74" s="33">
        <f>IFERROR(_xll.KeyLookup($A$21,G$21,G$22,$A74)/$B$3,"-")</f>
        <v>0</v>
      </c>
      <c r="H74" s="33">
        <f>IFERROR(_xll.KeyLookup($A$21,H$21,H$22,$A74)/$B$3,"-")</f>
        <v>0</v>
      </c>
      <c r="I74" s="33">
        <f>IFERROR(_xll.KeyLookup($A$21,I$21,I$22,$A74)/$B$3,"-")</f>
        <v>0</v>
      </c>
      <c r="J74" s="33">
        <f>IFERROR(_xll.KeyLookup($A$21,J$21,J$22,$A74)/$B$3,"-")</f>
        <v>0</v>
      </c>
      <c r="K74" s="33">
        <f>IFERROR(_xll.KeyLookup($A$21,K$21,K$22,$A74)/$B$3,"-")</f>
        <v>0</v>
      </c>
      <c r="L74" s="33">
        <f>IFERROR(_xll.KeyLookup($A$21,L$21,L$22,$A74)/$B$3,"-")</f>
        <v>2.593</v>
      </c>
      <c r="M74" s="33">
        <f>IFERROR(_xll.KeyLookup($A$21,M$21,M$22,$A74)/$B$3,"-")</f>
        <v>0</v>
      </c>
      <c r="N74" s="33">
        <f>IFERROR(_xll.KeyLookup($A$21,N$21,N$22,$A74)/$B$3,"-")</f>
        <v>-0.51900000000000002</v>
      </c>
      <c r="O74" s="33">
        <f>IFERROR(_xll.KeyLookup($A$21,O$21,O$22,$A74)/$B$3,"-")</f>
        <v>0</v>
      </c>
      <c r="P74" s="33">
        <f>IFERROR(_xll.KeyLookup($A$21,P$21,P$22,$A74)/$B$3,"-")</f>
        <v>0</v>
      </c>
    </row>
    <row r="75" spans="1:16" ht="13.5" thickBot="1" x14ac:dyDescent="0.25">
      <c r="A75" s="6" t="s">
        <v>10</v>
      </c>
      <c r="B75" s="7" t="str">
        <f>_xll.KeyName($A$21,A75)</f>
        <v>Earnings</v>
      </c>
      <c r="C75" s="36">
        <f>IFERROR(_xll.KeyLookup($A$21,C$21,C$22,$A75)/$B$3,"-")</f>
        <v>-13.189</v>
      </c>
      <c r="D75" s="36">
        <f>IFERROR(_xll.KeyLookup($A$21,D$21,D$22,$A75)/$B$3,"-")</f>
        <v>14.319000000000001</v>
      </c>
      <c r="E75" s="36">
        <f>IFERROR(_xll.KeyLookup($A$21,E$21,E$22,$A75)/$B$3,"-")</f>
        <v>51.362000000000002</v>
      </c>
      <c r="F75" s="36">
        <f>IFERROR(_xll.KeyLookup($A$21,F$21,F$22,$A75)/$B$3,"-")</f>
        <v>-8.2170000000000005</v>
      </c>
      <c r="G75" s="36">
        <f>IFERROR(_xll.KeyLookup($A$21,G$21,G$22,$A75)/$B$3,"-")</f>
        <v>-18.289000000000001</v>
      </c>
      <c r="H75" s="36">
        <f>IFERROR(_xll.KeyLookup($A$21,H$21,H$22,$A75)/$B$3,"-")</f>
        <v>18.489999999999998</v>
      </c>
      <c r="I75" s="36">
        <f>IFERROR(_xll.KeyLookup($A$21,I$21,I$22,$A75)/$B$3,"-")</f>
        <v>65.325000000000003</v>
      </c>
      <c r="J75" s="36">
        <f>IFERROR(_xll.KeyLookup($A$21,J$21,J$22,$A75)/$B$3,"-")</f>
        <v>-9.1080000000000005</v>
      </c>
      <c r="K75" s="36">
        <f>IFERROR(_xll.KeyLookup($A$21,K$21,K$22,$A75)/$B$3,"-")</f>
        <v>-26.721</v>
      </c>
      <c r="L75" s="36">
        <f>IFERROR(_xll.KeyLookup($A$21,L$21,L$22,$A75)/$B$3,"-")</f>
        <v>22.393000000000001</v>
      </c>
      <c r="M75" s="36">
        <f>IFERROR(_xll.KeyLookup($A$21,M$21,M$22,$A75)/$B$3,"-")</f>
        <v>85.801000000000002</v>
      </c>
      <c r="N75" s="36">
        <f>IFERROR(_xll.KeyLookup($A$21,N$21,N$22,$A75)/$B$3,"-")</f>
        <v>-14.974</v>
      </c>
      <c r="O75" s="36">
        <f>IFERROR(_xll.KeyLookup($A$21,O$21,O$22,$A75)/$B$3,"-")</f>
        <v>-14.552</v>
      </c>
      <c r="P75" s="36">
        <f>IFERROR(_xll.KeyLookup($A$21,P$21,P$22,$A75)/$B$3,"-")</f>
        <v>22.364999999999998</v>
      </c>
    </row>
    <row r="77" spans="1:16" x14ac:dyDescent="0.2">
      <c r="A77" s="8"/>
      <c r="C77" s="3">
        <v>2012</v>
      </c>
      <c r="D77" s="3">
        <v>2012</v>
      </c>
      <c r="E77" s="3">
        <v>2012</v>
      </c>
      <c r="F77" s="3">
        <v>2012</v>
      </c>
      <c r="G77" s="3">
        <v>2013</v>
      </c>
      <c r="H77" s="3">
        <v>2013</v>
      </c>
      <c r="I77" s="3">
        <v>2013</v>
      </c>
      <c r="J77" s="3">
        <v>2013</v>
      </c>
      <c r="K77" s="3">
        <v>2014</v>
      </c>
      <c r="L77" s="3">
        <v>2014</v>
      </c>
      <c r="M77" s="3">
        <v>2014</v>
      </c>
      <c r="N77" s="3">
        <v>2014</v>
      </c>
      <c r="O77" s="3">
        <v>2015</v>
      </c>
      <c r="P77" s="3">
        <v>2015</v>
      </c>
    </row>
    <row r="78" spans="1:16" ht="18.75" x14ac:dyDescent="0.3">
      <c r="A78" s="10" t="s">
        <v>18</v>
      </c>
      <c r="B78" s="4"/>
      <c r="C78" s="5" t="s">
        <v>45</v>
      </c>
      <c r="D78" s="5" t="s">
        <v>46</v>
      </c>
      <c r="E78" s="5" t="s">
        <v>47</v>
      </c>
      <c r="F78" s="5" t="s">
        <v>48</v>
      </c>
      <c r="G78" s="5" t="s">
        <v>45</v>
      </c>
      <c r="H78" s="5" t="s">
        <v>46</v>
      </c>
      <c r="I78" s="5" t="s">
        <v>47</v>
      </c>
      <c r="J78" s="5" t="s">
        <v>48</v>
      </c>
      <c r="K78" s="5" t="s">
        <v>45</v>
      </c>
      <c r="L78" s="5" t="s">
        <v>46</v>
      </c>
      <c r="M78" s="5" t="s">
        <v>47</v>
      </c>
      <c r="N78" s="5" t="s">
        <v>48</v>
      </c>
      <c r="O78" s="5" t="s">
        <v>45</v>
      </c>
      <c r="P78" s="5" t="s">
        <v>46</v>
      </c>
    </row>
    <row r="79" spans="1:16" x14ac:dyDescent="0.2">
      <c r="A79" s="26">
        <v>21101</v>
      </c>
      <c r="B79" s="1" t="str">
        <f>_xll.KeyName($A$21,A79)</f>
        <v>Operating assets</v>
      </c>
      <c r="C79" s="33">
        <f>IFERROR(_xll.KeyLookup($A$21,C$21,C$22,$A79)/$B$3,"-")</f>
        <v>279.18299999999999</v>
      </c>
      <c r="D79" s="33">
        <f>IFERROR(_xll.KeyLookup($A$21,D$21,D$22,$A79)/$B$3,"-")</f>
        <v>287.74299999999999</v>
      </c>
      <c r="E79" s="33">
        <f>IFERROR(_xll.KeyLookup($A$21,E$21,E$22,$A79)/$B$3,"-")</f>
        <v>280.91699999999997</v>
      </c>
      <c r="F79" s="33">
        <f>IFERROR(_xll.KeyLookup($A$21,F$21,F$22,$A79)/$B$3,"-")</f>
        <v>282.99700000000001</v>
      </c>
      <c r="G79" s="33">
        <f>IFERROR(_xll.KeyLookup($A$21,G$21,G$22,$A79)/$B$3,"-")</f>
        <v>309.37599999999998</v>
      </c>
      <c r="H79" s="33">
        <f>IFERROR(_xll.KeyLookup($A$21,H$21,H$22,$A79)/$B$3,"-")</f>
        <v>315.64600000000002</v>
      </c>
      <c r="I79" s="33">
        <f>IFERROR(_xll.KeyLookup($A$21,I$21,I$22,$A79)/$B$3,"-")</f>
        <v>307.51499999999999</v>
      </c>
      <c r="J79" s="33">
        <f>IFERROR(_xll.KeyLookup($A$21,J$21,J$22,$A79)/$B$3,"-")</f>
        <v>299.197</v>
      </c>
      <c r="K79" s="33">
        <f>IFERROR(_xll.KeyLookup($A$21,K$21,K$22,$A79)/$B$3,"-")</f>
        <v>310.947</v>
      </c>
      <c r="L79" s="33">
        <f>IFERROR(_xll.KeyLookup($A$21,L$21,L$22,$A79)/$B$3,"-")</f>
        <v>303.70400000000001</v>
      </c>
      <c r="M79" s="33">
        <f>IFERROR(_xll.KeyLookup($A$21,M$21,M$22,$A79)/$B$3,"-")</f>
        <v>297.61099999999999</v>
      </c>
      <c r="N79" s="33">
        <f>IFERROR(_xll.KeyLookup($A$21,N$21,N$22,$A79)/$B$3,"-")</f>
        <v>319.33999999999997</v>
      </c>
      <c r="O79" s="33">
        <f>IFERROR(_xll.KeyLookup($A$21,O$21,O$22,$A79)/$B$3,"-")</f>
        <v>325.83100000000002</v>
      </c>
      <c r="P79" s="33">
        <f>IFERROR(_xll.KeyLookup($A$21,P$21,P$22,$A79)/$B$3,"-")</f>
        <v>336.84699999999998</v>
      </c>
    </row>
    <row r="80" spans="1:16" x14ac:dyDescent="0.2">
      <c r="A80" s="26">
        <v>21201</v>
      </c>
      <c r="B80" s="1" t="str">
        <f>_xll.KeyName($A$21,A80)</f>
        <v>Intangible assets and goodwill</v>
      </c>
      <c r="C80" s="33">
        <f>IFERROR(_xll.KeyLookup($A$21,C$21,C$22,$A80)/$B$3,"-")</f>
        <v>178.08</v>
      </c>
      <c r="D80" s="33">
        <f>IFERROR(_xll.KeyLookup($A$21,D$21,D$22,$A80)/$B$3,"-")</f>
        <v>176.11199999999999</v>
      </c>
      <c r="E80" s="33">
        <f>IFERROR(_xll.KeyLookup($A$21,E$21,E$22,$A80)/$B$3,"-")</f>
        <v>176.315</v>
      </c>
      <c r="F80" s="33">
        <f>IFERROR(_xll.KeyLookup($A$21,F$21,F$22,$A80)/$B$3,"-")</f>
        <v>176.715</v>
      </c>
      <c r="G80" s="33">
        <f>IFERROR(_xll.KeyLookup($A$21,G$21,G$22,$A80)/$B$3,"-")</f>
        <v>177.50700000000001</v>
      </c>
      <c r="H80" s="33">
        <f>IFERROR(_xll.KeyLookup($A$21,H$21,H$22,$A80)/$B$3,"-")</f>
        <v>177.75299999999999</v>
      </c>
      <c r="I80" s="33">
        <f>IFERROR(_xll.KeyLookup($A$21,I$21,I$22,$A80)/$B$3,"-")</f>
        <v>178.14500000000001</v>
      </c>
      <c r="J80" s="33">
        <f>IFERROR(_xll.KeyLookup($A$21,J$21,J$22,$A80)/$B$3,"-")</f>
        <v>179.67599999999999</v>
      </c>
      <c r="K80" s="33">
        <f>IFERROR(_xll.KeyLookup($A$21,K$21,K$22,$A80)/$B$3,"-")</f>
        <v>179.74100000000001</v>
      </c>
      <c r="L80" s="33">
        <f>IFERROR(_xll.KeyLookup($A$21,L$21,L$22,$A80)/$B$3,"-")</f>
        <v>179.33</v>
      </c>
      <c r="M80" s="33">
        <f>IFERROR(_xll.KeyLookup($A$21,M$21,M$22,$A80)/$B$3,"-")</f>
        <v>176.929</v>
      </c>
      <c r="N80" s="33">
        <f>IFERROR(_xll.KeyLookup($A$21,N$21,N$22,$A80)/$B$3,"-")</f>
        <v>175.97300000000001</v>
      </c>
      <c r="O80" s="33">
        <f>IFERROR(_xll.KeyLookup($A$21,O$21,O$22,$A80)/$B$3,"-")</f>
        <v>173.649</v>
      </c>
      <c r="P80" s="33">
        <f>IFERROR(_xll.KeyLookup($A$21,P$21,P$22,$A80)/$B$3,"-")</f>
        <v>174.00899999999999</v>
      </c>
    </row>
    <row r="81" spans="1:16" x14ac:dyDescent="0.2">
      <c r="A81" s="26">
        <v>21402</v>
      </c>
      <c r="B81" s="1" t="str">
        <f>_xll.KeyName($A$21,A81)</f>
        <v>Investments in associates</v>
      </c>
      <c r="C81" s="33">
        <f>IFERROR(_xll.KeyLookup($A$21,C$21,C$22,$A81)/$B$3,"-")</f>
        <v>1.349</v>
      </c>
      <c r="D81" s="33">
        <f>IFERROR(_xll.KeyLookup($A$21,D$21,D$22,$A81)/$B$3,"-")</f>
        <v>1.286</v>
      </c>
      <c r="E81" s="33">
        <f>IFERROR(_xll.KeyLookup($A$21,E$21,E$22,$A81)/$B$3,"-")</f>
        <v>1.145</v>
      </c>
      <c r="F81" s="33">
        <f>IFERROR(_xll.KeyLookup($A$21,F$21,F$22,$A81)/$B$3,"-")</f>
        <v>1.327</v>
      </c>
      <c r="G81" s="33">
        <f>IFERROR(_xll.KeyLookup($A$21,G$21,G$22,$A81)/$B$3,"-")</f>
        <v>1.395</v>
      </c>
      <c r="H81" s="33">
        <f>IFERROR(_xll.KeyLookup($A$21,H$21,H$22,$A81)/$B$3,"-")</f>
        <v>1.4450000000000001</v>
      </c>
      <c r="I81" s="33">
        <f>IFERROR(_xll.KeyLookup($A$21,I$21,I$22,$A81)/$B$3,"-")</f>
        <v>2.0499999999999998</v>
      </c>
      <c r="J81" s="33">
        <f>IFERROR(_xll.KeyLookup($A$21,J$21,J$22,$A81)/$B$3,"-")</f>
        <v>2.0350000000000001</v>
      </c>
      <c r="K81" s="33">
        <f>IFERROR(_xll.KeyLookup($A$21,K$21,K$22,$A81)/$B$3,"-")</f>
        <v>2.7639999999999998</v>
      </c>
      <c r="L81" s="33">
        <f>IFERROR(_xll.KeyLookup($A$21,L$21,L$22,$A81)/$B$3,"-")</f>
        <v>2.117</v>
      </c>
      <c r="M81" s="33">
        <f>IFERROR(_xll.KeyLookup($A$21,M$21,M$22,$A81)/$B$3,"-")</f>
        <v>2.6560000000000001</v>
      </c>
      <c r="N81" s="33">
        <f>IFERROR(_xll.KeyLookup($A$21,N$21,N$22,$A81)/$B$3,"-")</f>
        <v>2.3239999999999998</v>
      </c>
      <c r="O81" s="33">
        <f>IFERROR(_xll.KeyLookup($A$21,O$21,O$22,$A81)/$B$3,"-")</f>
        <v>2.6619999999999999</v>
      </c>
      <c r="P81" s="33">
        <f>IFERROR(_xll.KeyLookup($A$21,P$21,P$22,$A81)/$B$3,"-")</f>
        <v>3.2440000000000002</v>
      </c>
    </row>
    <row r="82" spans="1:16" x14ac:dyDescent="0.2">
      <c r="A82" s="26">
        <v>21601</v>
      </c>
      <c r="B82" s="1" t="str">
        <f>_xll.KeyName($A$21,A82)</f>
        <v>Long-term cost</v>
      </c>
      <c r="C82" s="33">
        <f>IFERROR(_xll.KeyLookup($A$21,C$21,C$22,$A82)/$B$3,"-")</f>
        <v>5.649</v>
      </c>
      <c r="D82" s="33">
        <f>IFERROR(_xll.KeyLookup($A$21,D$21,D$22,$A82)/$B$3,"-")</f>
        <v>4.2859999999999996</v>
      </c>
      <c r="E82" s="33">
        <f>IFERROR(_xll.KeyLookup($A$21,E$21,E$22,$A82)/$B$3,"-")</f>
        <v>3.1680000000000001</v>
      </c>
      <c r="F82" s="33">
        <f>IFERROR(_xll.KeyLookup($A$21,F$21,F$22,$A82)/$B$3,"-")</f>
        <v>3.6480000000000001</v>
      </c>
      <c r="G82" s="33">
        <f>IFERROR(_xll.KeyLookup($A$21,G$21,G$22,$A82)/$B$3,"-")</f>
        <v>1.462</v>
      </c>
      <c r="H82" s="33">
        <f>IFERROR(_xll.KeyLookup($A$21,H$21,H$22,$A82)/$B$3,"-")</f>
        <v>0.33</v>
      </c>
      <c r="I82" s="33">
        <f>IFERROR(_xll.KeyLookup($A$21,I$21,I$22,$A82)/$B$3,"-")</f>
        <v>0.29399999999999998</v>
      </c>
      <c r="J82" s="33">
        <f>IFERROR(_xll.KeyLookup($A$21,J$21,J$22,$A82)/$B$3,"-")</f>
        <v>0.25800000000000001</v>
      </c>
      <c r="K82" s="33">
        <f>IFERROR(_xll.KeyLookup($A$21,K$21,K$22,$A82)/$B$3,"-")</f>
        <v>0.248</v>
      </c>
      <c r="L82" s="33">
        <f>IFERROR(_xll.KeyLookup($A$21,L$21,L$22,$A82)/$B$3,"-")</f>
        <v>0.19900000000000001</v>
      </c>
      <c r="M82" s="33">
        <f>IFERROR(_xll.KeyLookup($A$21,M$21,M$22,$A82)/$B$3,"-")</f>
        <v>0.17499999999999999</v>
      </c>
      <c r="N82" s="33">
        <f>IFERROR(_xll.KeyLookup($A$21,N$21,N$22,$A82)/$B$3,"-")</f>
        <v>0.153</v>
      </c>
      <c r="O82" s="33">
        <f>IFERROR(_xll.KeyLookup($A$21,O$21,O$22,$A82)/$B$3,"-")</f>
        <v>0.128</v>
      </c>
      <c r="P82" s="33">
        <f>IFERROR(_xll.KeyLookup($A$21,P$21,P$22,$A82)/$B$3,"-")</f>
        <v>0.14599999999999999</v>
      </c>
    </row>
    <row r="83" spans="1:16" x14ac:dyDescent="0.2">
      <c r="A83" s="26">
        <v>21801</v>
      </c>
      <c r="B83" s="1" t="str">
        <f>_xll.KeyName($A$21,A83)</f>
        <v>Long-term receivables and deposits</v>
      </c>
      <c r="C83" s="33">
        <f>IFERROR(_xll.KeyLookup($A$21,C$21,C$22,$A83)/$B$3,"-")</f>
        <v>19.616</v>
      </c>
      <c r="D83" s="33">
        <f>IFERROR(_xll.KeyLookup($A$21,D$21,D$22,$A83)/$B$3,"-")</f>
        <v>20.117999999999999</v>
      </c>
      <c r="E83" s="33">
        <f>IFERROR(_xll.KeyLookup($A$21,E$21,E$22,$A83)/$B$3,"-")</f>
        <v>17.23</v>
      </c>
      <c r="F83" s="33">
        <f>IFERROR(_xll.KeyLookup($A$21,F$21,F$22,$A83)/$B$3,"-")</f>
        <v>9.2230000000000008</v>
      </c>
      <c r="G83" s="33">
        <f>IFERROR(_xll.KeyLookup($A$21,G$21,G$22,$A83)/$B$3,"-")</f>
        <v>10.427</v>
      </c>
      <c r="H83" s="33">
        <f>IFERROR(_xll.KeyLookup($A$21,H$21,H$22,$A83)/$B$3,"-")</f>
        <v>9.43</v>
      </c>
      <c r="I83" s="33">
        <f>IFERROR(_xll.KeyLookup($A$21,I$21,I$22,$A83)/$B$3,"-")</f>
        <v>8.4459999999999997</v>
      </c>
      <c r="J83" s="33">
        <f>IFERROR(_xll.KeyLookup($A$21,J$21,J$22,$A83)/$B$3,"-")</f>
        <v>15.791</v>
      </c>
      <c r="K83" s="33">
        <f>IFERROR(_xll.KeyLookup($A$21,K$21,K$22,$A83)/$B$3,"-")</f>
        <v>16.850999999999999</v>
      </c>
      <c r="L83" s="33">
        <f>IFERROR(_xll.KeyLookup($A$21,L$21,L$22,$A83)/$B$3,"-")</f>
        <v>17.428999999999998</v>
      </c>
      <c r="M83" s="33">
        <f>IFERROR(_xll.KeyLookup($A$21,M$21,M$22,$A83)/$B$3,"-")</f>
        <v>16.294</v>
      </c>
      <c r="N83" s="33">
        <f>IFERROR(_xll.KeyLookup($A$21,N$21,N$22,$A83)/$B$3,"-")</f>
        <v>16.413</v>
      </c>
      <c r="O83" s="33">
        <f>IFERROR(_xll.KeyLookup($A$21,O$21,O$22,$A83)/$B$3,"-")</f>
        <v>18.946000000000002</v>
      </c>
      <c r="P83" s="33">
        <f>IFERROR(_xll.KeyLookup($A$21,P$21,P$22,$A83)/$B$3,"-")</f>
        <v>19.536999999999999</v>
      </c>
    </row>
    <row r="84" spans="1:16" x14ac:dyDescent="0.2">
      <c r="A84" s="20" t="s">
        <v>11</v>
      </c>
      <c r="B84" s="21" t="str">
        <f>_xll.KeyName($A$21,A84)</f>
        <v>Non Current Assets</v>
      </c>
      <c r="C84" s="35">
        <f>IFERROR(_xll.KeyLookup($A$21,C$21,C$22,$A84)/$B$3,"-")</f>
        <v>483.87700000000001</v>
      </c>
      <c r="D84" s="35">
        <f>IFERROR(_xll.KeyLookup($A$21,D$21,D$22,$A84)/$B$3,"-")</f>
        <v>489.54500000000002</v>
      </c>
      <c r="E84" s="35">
        <f>IFERROR(_xll.KeyLookup($A$21,E$21,E$22,$A84)/$B$3,"-")</f>
        <v>478.77499999999998</v>
      </c>
      <c r="F84" s="35">
        <f>IFERROR(_xll.KeyLookup($A$21,F$21,F$22,$A84)/$B$3,"-")</f>
        <v>473.91</v>
      </c>
      <c r="G84" s="35">
        <f>IFERROR(_xll.KeyLookup($A$21,G$21,G$22,$A84)/$B$3,"-")</f>
        <v>500.16699999999997</v>
      </c>
      <c r="H84" s="35">
        <f>IFERROR(_xll.KeyLookup($A$21,H$21,H$22,$A84)/$B$3,"-")</f>
        <v>504.60399999999998</v>
      </c>
      <c r="I84" s="35">
        <f>IFERROR(_xll.KeyLookup($A$21,I$21,I$22,$A84)/$B$3,"-")</f>
        <v>496.45</v>
      </c>
      <c r="J84" s="35">
        <f>IFERROR(_xll.KeyLookup($A$21,J$21,J$22,$A84)/$B$3,"-")</f>
        <v>496.95699999999999</v>
      </c>
      <c r="K84" s="35">
        <f>IFERROR(_xll.KeyLookup($A$21,K$21,K$22,$A84)/$B$3,"-")</f>
        <v>510.55099999999999</v>
      </c>
      <c r="L84" s="35">
        <f>IFERROR(_xll.KeyLookup($A$21,L$21,L$22,$A84)/$B$3,"-")</f>
        <v>502.779</v>
      </c>
      <c r="M84" s="35">
        <f>IFERROR(_xll.KeyLookup($A$21,M$21,M$22,$A84)/$B$3,"-")</f>
        <v>493.66500000000002</v>
      </c>
      <c r="N84" s="35">
        <f>IFERROR(_xll.KeyLookup($A$21,N$21,N$22,$A84)/$B$3,"-")</f>
        <v>514.20299999999997</v>
      </c>
      <c r="O84" s="35">
        <f>IFERROR(_xll.KeyLookup($A$21,O$21,O$22,$A84)/$B$3,"-")</f>
        <v>521.21600000000001</v>
      </c>
      <c r="P84" s="35">
        <f>IFERROR(_xll.KeyLookup($A$21,P$21,P$22,$A84)/$B$3,"-")</f>
        <v>533.78300000000002</v>
      </c>
    </row>
    <row r="85" spans="1:16" x14ac:dyDescent="0.2">
      <c r="A85" s="26">
        <v>22101</v>
      </c>
      <c r="B85" s="1" t="str">
        <f>_xll.KeyName($A$21,A85)</f>
        <v>Inventories</v>
      </c>
      <c r="C85" s="33">
        <f>IFERROR(_xll.KeyLookup($A$21,C$21,C$22,$A85)/$B$3,"-")</f>
        <v>15.782999999999999</v>
      </c>
      <c r="D85" s="33">
        <f>IFERROR(_xll.KeyLookup($A$21,D$21,D$22,$A85)/$B$3,"-")</f>
        <v>16.494</v>
      </c>
      <c r="E85" s="33">
        <f>IFERROR(_xll.KeyLookup($A$21,E$21,E$22,$A85)/$B$3,"-")</f>
        <v>17.152000000000001</v>
      </c>
      <c r="F85" s="33">
        <f>IFERROR(_xll.KeyLookup($A$21,F$21,F$22,$A85)/$B$3,"-")</f>
        <v>17.417000000000002</v>
      </c>
      <c r="G85" s="33">
        <f>IFERROR(_xll.KeyLookup($A$21,G$21,G$22,$A85)/$B$3,"-")</f>
        <v>20.187999999999999</v>
      </c>
      <c r="H85" s="33">
        <f>IFERROR(_xll.KeyLookup($A$21,H$21,H$22,$A85)/$B$3,"-")</f>
        <v>20.420000000000002</v>
      </c>
      <c r="I85" s="33">
        <f>IFERROR(_xll.KeyLookup($A$21,I$21,I$22,$A85)/$B$3,"-")</f>
        <v>21.52</v>
      </c>
      <c r="J85" s="33">
        <f>IFERROR(_xll.KeyLookup($A$21,J$21,J$22,$A85)/$B$3,"-")</f>
        <v>22.166</v>
      </c>
      <c r="K85" s="33">
        <f>IFERROR(_xll.KeyLookup($A$21,K$21,K$22,$A85)/$B$3,"-")</f>
        <v>23.515999999999998</v>
      </c>
      <c r="L85" s="33">
        <f>IFERROR(_xll.KeyLookup($A$21,L$21,L$22,$A85)/$B$3,"-")</f>
        <v>23.263000000000002</v>
      </c>
      <c r="M85" s="33">
        <f>IFERROR(_xll.KeyLookup($A$21,M$21,M$22,$A85)/$B$3,"-")</f>
        <v>23.2</v>
      </c>
      <c r="N85" s="33">
        <f>IFERROR(_xll.KeyLookup($A$21,N$21,N$22,$A85)/$B$3,"-")</f>
        <v>22.905999999999999</v>
      </c>
      <c r="O85" s="33">
        <f>IFERROR(_xll.KeyLookup($A$21,O$21,O$22,$A85)/$B$3,"-")</f>
        <v>21.353999999999999</v>
      </c>
      <c r="P85" s="33">
        <f>IFERROR(_xll.KeyLookup($A$21,P$21,P$22,$A85)/$B$3,"-")</f>
        <v>25.068000000000001</v>
      </c>
    </row>
    <row r="86" spans="1:16" x14ac:dyDescent="0.2">
      <c r="A86" s="26">
        <v>22201</v>
      </c>
      <c r="B86" s="1" t="str">
        <f>_xll.KeyName($A$21,A86)</f>
        <v>Trade and other receivables</v>
      </c>
      <c r="C86" s="33">
        <f>IFERROR(_xll.KeyLookup($A$21,C$21,C$22,$A86)/$B$3,"-")</f>
        <v>130.96600000000001</v>
      </c>
      <c r="D86" s="33">
        <f>IFERROR(_xll.KeyLookup($A$21,D$21,D$22,$A86)/$B$3,"-")</f>
        <v>122.471</v>
      </c>
      <c r="E86" s="33">
        <f>IFERROR(_xll.KeyLookup($A$21,E$21,E$22,$A86)/$B$3,"-")</f>
        <v>127.003</v>
      </c>
      <c r="F86" s="33">
        <f>IFERROR(_xll.KeyLookup($A$21,F$21,F$22,$A86)/$B$3,"-")</f>
        <v>135.08500000000001</v>
      </c>
      <c r="G86" s="33">
        <f>IFERROR(_xll.KeyLookup($A$21,G$21,G$22,$A86)/$B$3,"-")</f>
        <v>149.33099999999999</v>
      </c>
      <c r="H86" s="33">
        <f>IFERROR(_xll.KeyLookup($A$21,H$21,H$22,$A86)/$B$3,"-")</f>
        <v>154.196</v>
      </c>
      <c r="I86" s="33">
        <f>IFERROR(_xll.KeyLookup($A$21,I$21,I$22,$A86)/$B$3,"-")</f>
        <v>141.184</v>
      </c>
      <c r="J86" s="33">
        <f>IFERROR(_xll.KeyLookup($A$21,J$21,J$22,$A86)/$B$3,"-")</f>
        <v>114.259</v>
      </c>
      <c r="K86" s="33">
        <f>IFERROR(_xll.KeyLookup($A$21,K$21,K$22,$A86)/$B$3,"-")</f>
        <v>133.47</v>
      </c>
      <c r="L86" s="33">
        <f>IFERROR(_xll.KeyLookup($A$21,L$21,L$22,$A86)/$B$3,"-")</f>
        <v>138.261</v>
      </c>
      <c r="M86" s="33">
        <f>IFERROR(_xll.KeyLookup($A$21,M$21,M$22,$A86)/$B$3,"-")</f>
        <v>105.673</v>
      </c>
      <c r="N86" s="33">
        <f>IFERROR(_xll.KeyLookup($A$21,N$21,N$22,$A86)/$B$3,"-")</f>
        <v>96.47</v>
      </c>
      <c r="O86" s="33">
        <f>IFERROR(_xll.KeyLookup($A$21,O$21,O$22,$A86)/$B$3,"-")</f>
        <v>128.44999999999999</v>
      </c>
      <c r="P86" s="33">
        <f>IFERROR(_xll.KeyLookup($A$21,P$21,P$22,$A86)/$B$3,"-")</f>
        <v>128.34299999999999</v>
      </c>
    </row>
    <row r="87" spans="1:16" x14ac:dyDescent="0.2">
      <c r="A87" s="26">
        <v>22301</v>
      </c>
      <c r="B87" s="1" t="str">
        <f>_xll.KeyName($A$21,A87)</f>
        <v>Marketable securities</v>
      </c>
      <c r="C87" s="33">
        <f>IFERROR(_xll.KeyLookup($A$21,C$21,C$22,$A87)/$B$3,"-")</f>
        <v>18.984999999999999</v>
      </c>
      <c r="D87" s="33">
        <f>IFERROR(_xll.KeyLookup($A$21,D$21,D$22,$A87)/$B$3,"-")</f>
        <v>16.954999999999998</v>
      </c>
      <c r="E87" s="33">
        <f>IFERROR(_xll.KeyLookup($A$21,E$21,E$22,$A87)/$B$3,"-")</f>
        <v>16.123000000000001</v>
      </c>
      <c r="F87" s="33">
        <f>IFERROR(_xll.KeyLookup($A$21,F$21,F$22,$A87)/$B$3,"-")</f>
        <v>15.734</v>
      </c>
      <c r="G87" s="33">
        <f>IFERROR(_xll.KeyLookup($A$21,G$21,G$22,$A87)/$B$3,"-")</f>
        <v>21.265999999999998</v>
      </c>
      <c r="H87" s="33">
        <f>IFERROR(_xll.KeyLookup($A$21,H$21,H$22,$A87)/$B$3,"-")</f>
        <v>2.7450000000000001</v>
      </c>
      <c r="I87" s="33">
        <f>IFERROR(_xll.KeyLookup($A$21,I$21,I$22,$A87)/$B$3,"-")</f>
        <v>2.8519999999999999</v>
      </c>
      <c r="J87" s="33">
        <f>IFERROR(_xll.KeyLookup($A$21,J$21,J$22,$A87)/$B$3,"-")</f>
        <v>7.9550000000000001</v>
      </c>
      <c r="K87" s="33">
        <f>IFERROR(_xll.KeyLookup($A$21,K$21,K$22,$A87)/$B$3,"-")</f>
        <v>9.5410000000000004</v>
      </c>
      <c r="L87" s="33">
        <f>IFERROR(_xll.KeyLookup($A$21,L$21,L$22,$A87)/$B$3,"-")</f>
        <v>16.294</v>
      </c>
      <c r="M87" s="33">
        <f>IFERROR(_xll.KeyLookup($A$21,M$21,M$22,$A87)/$B$3,"-")</f>
        <v>27.119</v>
      </c>
      <c r="N87" s="33">
        <f>IFERROR(_xll.KeyLookup($A$21,N$21,N$22,$A87)/$B$3,"-")</f>
        <v>30.879000000000001</v>
      </c>
      <c r="O87" s="33">
        <f>IFERROR(_xll.KeyLookup($A$21,O$21,O$22,$A87)/$B$3,"-")</f>
        <v>39.287999999999997</v>
      </c>
      <c r="P87" s="33">
        <f>IFERROR(_xll.KeyLookup($A$21,P$21,P$22,$A87)/$B$3,"-")</f>
        <v>36.305</v>
      </c>
    </row>
    <row r="88" spans="1:16" x14ac:dyDescent="0.2">
      <c r="A88" s="26">
        <v>22601</v>
      </c>
      <c r="B88" s="1" t="str">
        <f>_xll.KeyName($A$21,A88)</f>
        <v>Cash and cash equivalents</v>
      </c>
      <c r="C88" s="33">
        <f>IFERROR(_xll.KeyLookup($A$21,C$21,C$22,$A88)/$B$3,"-")</f>
        <v>126.58</v>
      </c>
      <c r="D88" s="33">
        <f>IFERROR(_xll.KeyLookup($A$21,D$21,D$22,$A88)/$B$3,"-")</f>
        <v>172.13499999999999</v>
      </c>
      <c r="E88" s="33">
        <f>IFERROR(_xll.KeyLookup($A$21,E$21,E$22,$A88)/$B$3,"-")</f>
        <v>151.55199999999999</v>
      </c>
      <c r="F88" s="33">
        <f>IFERROR(_xll.KeyLookup($A$21,F$21,F$22,$A88)/$B$3,"-")</f>
        <v>117.06</v>
      </c>
      <c r="G88" s="33">
        <f>IFERROR(_xll.KeyLookup($A$21,G$21,G$22,$A88)/$B$3,"-")</f>
        <v>143.958</v>
      </c>
      <c r="H88" s="33">
        <f>IFERROR(_xll.KeyLookup($A$21,H$21,H$22,$A88)/$B$3,"-")</f>
        <v>219.34299999999999</v>
      </c>
      <c r="I88" s="33">
        <f>IFERROR(_xll.KeyLookup($A$21,I$21,I$22,$A88)/$B$3,"-")</f>
        <v>215.48400000000001</v>
      </c>
      <c r="J88" s="33">
        <f>IFERROR(_xll.KeyLookup($A$21,J$21,J$22,$A88)/$B$3,"-")</f>
        <v>191.53800000000001</v>
      </c>
      <c r="K88" s="33">
        <f>IFERROR(_xll.KeyLookup($A$21,K$21,K$22,$A88)/$B$3,"-")</f>
        <v>250.21299999999999</v>
      </c>
      <c r="L88" s="33">
        <f>IFERROR(_xll.KeyLookup($A$21,L$21,L$22,$A88)/$B$3,"-")</f>
        <v>266.99299999999999</v>
      </c>
      <c r="M88" s="33">
        <f>IFERROR(_xll.KeyLookup($A$21,M$21,M$22,$A88)/$B$3,"-")</f>
        <v>227.57599999999999</v>
      </c>
      <c r="N88" s="33">
        <f>IFERROR(_xll.KeyLookup($A$21,N$21,N$22,$A88)/$B$3,"-")</f>
        <v>184.762</v>
      </c>
      <c r="O88" s="33">
        <f>IFERROR(_xll.KeyLookup($A$21,O$21,O$22,$A88)/$B$3,"-")</f>
        <v>282.65499999999997</v>
      </c>
      <c r="P88" s="33">
        <f>IFERROR(_xll.KeyLookup($A$21,P$21,P$22,$A88)/$B$3,"-")</f>
        <v>314.90300000000002</v>
      </c>
    </row>
    <row r="89" spans="1:16" x14ac:dyDescent="0.2">
      <c r="A89" s="26">
        <v>22701</v>
      </c>
      <c r="B89" s="1" t="str">
        <f>_xll.KeyName($A$21,A89)</f>
        <v>Assets classified as held for sale</v>
      </c>
      <c r="C89" s="33">
        <f>IFERROR(_xll.KeyLookup($A$21,C$21,C$22,$A89)/$B$3,"-")</f>
        <v>4.0780000000000003</v>
      </c>
      <c r="D89" s="33">
        <f>IFERROR(_xll.KeyLookup($A$21,D$21,D$22,$A89)/$B$3,"-")</f>
        <v>4.0780000000000003</v>
      </c>
      <c r="E89" s="33">
        <f>IFERROR(_xll.KeyLookup($A$21,E$21,E$22,$A89)/$B$3,"-")</f>
        <v>4.0780000000000003</v>
      </c>
      <c r="F89" s="33">
        <f>IFERROR(_xll.KeyLookup($A$21,F$21,F$22,$A89)/$B$3,"-")</f>
        <v>3.6890000000000001</v>
      </c>
      <c r="G89" s="33">
        <f>IFERROR(_xll.KeyLookup($A$21,G$21,G$22,$A89)/$B$3,"-")</f>
        <v>0</v>
      </c>
      <c r="H89" s="33">
        <f>IFERROR(_xll.KeyLookup($A$21,H$21,H$22,$A89)/$B$3,"-")</f>
        <v>0</v>
      </c>
      <c r="I89" s="33">
        <f>IFERROR(_xll.KeyLookup($A$21,I$21,I$22,$A89)/$B$3,"-")</f>
        <v>0</v>
      </c>
      <c r="J89" s="33">
        <f>IFERROR(_xll.KeyLookup($A$21,J$21,J$22,$A89)/$B$3,"-")</f>
        <v>0</v>
      </c>
      <c r="K89" s="33">
        <f>IFERROR(_xll.KeyLookup($A$21,K$21,K$22,$A89)/$B$3,"-")</f>
        <v>0</v>
      </c>
      <c r="L89" s="33">
        <f>IFERROR(_xll.KeyLookup($A$21,L$21,L$22,$A89)/$B$3,"-")</f>
        <v>0</v>
      </c>
      <c r="M89" s="33">
        <f>IFERROR(_xll.KeyLookup($A$21,M$21,M$22,$A89)/$B$3,"-")</f>
        <v>0</v>
      </c>
      <c r="N89" s="33">
        <f>IFERROR(_xll.KeyLookup($A$21,N$21,N$22,$A89)/$B$3,"-")</f>
        <v>0</v>
      </c>
      <c r="O89" s="33">
        <f>IFERROR(_xll.KeyLookup($A$21,O$21,O$22,$A89)/$B$3,"-")</f>
        <v>0</v>
      </c>
      <c r="P89" s="33">
        <f>IFERROR(_xll.KeyLookup($A$21,P$21,P$22,$A89)/$B$3,"-")</f>
        <v>0</v>
      </c>
    </row>
    <row r="90" spans="1:16" x14ac:dyDescent="0.2">
      <c r="A90" s="20" t="s">
        <v>12</v>
      </c>
      <c r="B90" s="21" t="str">
        <f>_xll.KeyName($A$21,A90)</f>
        <v>Current Assets</v>
      </c>
      <c r="C90" s="35">
        <f>IFERROR(_xll.KeyLookup($A$21,C$21,C$22,$A90)/$B$3,"-")</f>
        <v>296.392</v>
      </c>
      <c r="D90" s="35">
        <f>IFERROR(_xll.KeyLookup($A$21,D$21,D$22,$A90)/$B$3,"-")</f>
        <v>332.13299999999998</v>
      </c>
      <c r="E90" s="35">
        <f>IFERROR(_xll.KeyLookup($A$21,E$21,E$22,$A90)/$B$3,"-")</f>
        <v>315.90800000000002</v>
      </c>
      <c r="F90" s="35">
        <f>IFERROR(_xll.KeyLookup($A$21,F$21,F$22,$A90)/$B$3,"-")</f>
        <v>288.98500000000001</v>
      </c>
      <c r="G90" s="35">
        <f>IFERROR(_xll.KeyLookup($A$21,G$21,G$22,$A90)/$B$3,"-")</f>
        <v>334.74299999999999</v>
      </c>
      <c r="H90" s="35">
        <f>IFERROR(_xll.KeyLookup($A$21,H$21,H$22,$A90)/$B$3,"-")</f>
        <v>396.70400000000001</v>
      </c>
      <c r="I90" s="35">
        <f>IFERROR(_xll.KeyLookup($A$21,I$21,I$22,$A90)/$B$3,"-")</f>
        <v>381.04</v>
      </c>
      <c r="J90" s="35">
        <f>IFERROR(_xll.KeyLookup($A$21,J$21,J$22,$A90)/$B$3,"-")</f>
        <v>335.91800000000001</v>
      </c>
      <c r="K90" s="35">
        <f>IFERROR(_xll.KeyLookup($A$21,K$21,K$22,$A90)/$B$3,"-")</f>
        <v>416.74</v>
      </c>
      <c r="L90" s="35">
        <f>IFERROR(_xll.KeyLookup($A$21,L$21,L$22,$A90)/$B$3,"-")</f>
        <v>444.81099999999998</v>
      </c>
      <c r="M90" s="35">
        <f>IFERROR(_xll.KeyLookup($A$21,M$21,M$22,$A90)/$B$3,"-")</f>
        <v>383.56799999999998</v>
      </c>
      <c r="N90" s="35">
        <f>IFERROR(_xll.KeyLookup($A$21,N$21,N$22,$A90)/$B$3,"-")</f>
        <v>335.017</v>
      </c>
      <c r="O90" s="35">
        <f>IFERROR(_xll.KeyLookup($A$21,O$21,O$22,$A90)/$B$3,"-")</f>
        <v>471.74700000000001</v>
      </c>
      <c r="P90" s="35">
        <f>IFERROR(_xll.KeyLookup($A$21,P$21,P$22,$A90)/$B$3,"-")</f>
        <v>504.61900000000003</v>
      </c>
    </row>
    <row r="91" spans="1:16" ht="13.5" thickBot="1" x14ac:dyDescent="0.25">
      <c r="A91" s="27" t="s">
        <v>17</v>
      </c>
      <c r="B91" s="22" t="str">
        <f>_xll.KeyName($A$21,A91)</f>
        <v>Total Assets</v>
      </c>
      <c r="C91" s="37">
        <f>IFERROR(_xll.KeyLookup($A$21,C$21,C$22,$A91)/$B$3,"-")</f>
        <v>780.26900000000001</v>
      </c>
      <c r="D91" s="37">
        <f>IFERROR(_xll.KeyLookup($A$21,D$21,D$22,$A91)/$B$3,"-")</f>
        <v>821.678</v>
      </c>
      <c r="E91" s="37">
        <f>IFERROR(_xll.KeyLookup($A$21,E$21,E$22,$A91)/$B$3,"-")</f>
        <v>794.68299999999999</v>
      </c>
      <c r="F91" s="37">
        <f>IFERROR(_xll.KeyLookup($A$21,F$21,F$22,$A91)/$B$3,"-")</f>
        <v>762.89499999999998</v>
      </c>
      <c r="G91" s="37">
        <f>IFERROR(_xll.KeyLookup($A$21,G$21,G$22,$A91)/$B$3,"-")</f>
        <v>834.91</v>
      </c>
      <c r="H91" s="37">
        <f>IFERROR(_xll.KeyLookup($A$21,H$21,H$22,$A91)/$B$3,"-")</f>
        <v>901.30799999999999</v>
      </c>
      <c r="I91" s="37">
        <f>IFERROR(_xll.KeyLookup($A$21,I$21,I$22,$A91)/$B$3,"-")</f>
        <v>877.49</v>
      </c>
      <c r="J91" s="37">
        <f>IFERROR(_xll.KeyLookup($A$21,J$21,J$22,$A91)/$B$3,"-")</f>
        <v>832.875</v>
      </c>
      <c r="K91" s="37">
        <f>IFERROR(_xll.KeyLookup($A$21,K$21,K$22,$A91)/$B$3,"-")</f>
        <v>927.29100000000005</v>
      </c>
      <c r="L91" s="37">
        <f>IFERROR(_xll.KeyLookup($A$21,L$21,L$22,$A91)/$B$3,"-")</f>
        <v>947.59</v>
      </c>
      <c r="M91" s="37">
        <f>IFERROR(_xll.KeyLookup($A$21,M$21,M$22,$A91)/$B$3,"-")</f>
        <v>877.23299999999995</v>
      </c>
      <c r="N91" s="37">
        <f>IFERROR(_xll.KeyLookup($A$21,N$21,N$22,$A91)/$B$3,"-")</f>
        <v>849.22</v>
      </c>
      <c r="O91" s="37">
        <f>IFERROR(_xll.KeyLookup($A$21,O$21,O$22,$A91)/$B$3,"-")</f>
        <v>992.96299999999997</v>
      </c>
      <c r="P91" s="37">
        <f>IFERROR(_xll.KeyLookup($A$21,P$21,P$22,$A91)/$B$3,"-")</f>
        <v>1038.402</v>
      </c>
    </row>
    <row r="92" spans="1:16" x14ac:dyDescent="0.2">
      <c r="A92" s="26">
        <v>31101</v>
      </c>
      <c r="B92" s="1" t="str">
        <f>_xll.KeyName($A$21,A92)</f>
        <v>Share capital</v>
      </c>
      <c r="C92" s="33">
        <f>IFERROR(_xll.KeyLookup($A$21,C$21,C$22,$A92)/$B$3,"-")</f>
        <v>40.576000000000001</v>
      </c>
      <c r="D92" s="33">
        <f>IFERROR(_xll.KeyLookup($A$21,D$21,D$22,$A92)/$B$3,"-")</f>
        <v>40.576000000000001</v>
      </c>
      <c r="E92" s="33">
        <f>IFERROR(_xll.KeyLookup($A$21,E$21,E$22,$A92)/$B$3,"-")</f>
        <v>40.576000000000001</v>
      </c>
      <c r="F92" s="33">
        <f>IFERROR(_xll.KeyLookup($A$21,F$21,F$22,$A92)/$B$3,"-")</f>
        <v>40.576000000000001</v>
      </c>
      <c r="G92" s="33">
        <f>IFERROR(_xll.KeyLookup($A$21,G$21,G$22,$A92)/$B$3,"-")</f>
        <v>40.576000000000001</v>
      </c>
      <c r="H92" s="33">
        <f>IFERROR(_xll.KeyLookup($A$21,H$21,H$22,$A92)/$B$3,"-")</f>
        <v>40.576000000000001</v>
      </c>
      <c r="I92" s="33">
        <f>IFERROR(_xll.KeyLookup($A$21,I$21,I$22,$A92)/$B$3,"-")</f>
        <v>40.576000000000001</v>
      </c>
      <c r="J92" s="33">
        <f>IFERROR(_xll.KeyLookup($A$21,J$21,J$22,$A92)/$B$3,"-")</f>
        <v>40.576000000000001</v>
      </c>
      <c r="K92" s="33">
        <f>IFERROR(_xll.KeyLookup($A$21,K$21,K$22,$A92)/$B$3,"-")</f>
        <v>40.576000000000001</v>
      </c>
      <c r="L92" s="33">
        <f>IFERROR(_xll.KeyLookup($A$21,L$21,L$22,$A92)/$B$3,"-")</f>
        <v>40.576000000000001</v>
      </c>
      <c r="M92" s="33">
        <f>IFERROR(_xll.KeyLookup($A$21,M$21,M$22,$A92)/$B$3,"-")</f>
        <v>40.576000000000001</v>
      </c>
      <c r="N92" s="33">
        <f>IFERROR(_xll.KeyLookup($A$21,N$21,N$22,$A92)/$B$3,"-")</f>
        <v>40.576000000000001</v>
      </c>
      <c r="O92" s="33">
        <f>IFERROR(_xll.KeyLookup($A$21,O$21,O$22,$A92)/$B$3,"-")</f>
        <v>40.576000000000001</v>
      </c>
      <c r="P92" s="33">
        <f>IFERROR(_xll.KeyLookup($A$21,P$21,P$22,$A92)/$B$3,"-")</f>
        <v>40.575000000000003</v>
      </c>
    </row>
    <row r="93" spans="1:16" x14ac:dyDescent="0.2">
      <c r="A93" s="26">
        <v>31201</v>
      </c>
      <c r="B93" s="1" t="str">
        <f>_xll.KeyName($A$21,A93)</f>
        <v>Share premium</v>
      </c>
      <c r="C93" s="33">
        <f>IFERROR(_xll.KeyLookup($A$21,C$21,C$22,$A93)/$B$3,"-")</f>
        <v>154.70500000000001</v>
      </c>
      <c r="D93" s="33">
        <f>IFERROR(_xll.KeyLookup($A$21,D$21,D$22,$A93)/$B$3,"-")</f>
        <v>154.70500000000001</v>
      </c>
      <c r="E93" s="33">
        <f>IFERROR(_xll.KeyLookup($A$21,E$21,E$22,$A93)/$B$3,"-")</f>
        <v>154.70500000000001</v>
      </c>
      <c r="F93" s="33">
        <f>IFERROR(_xll.KeyLookup($A$21,F$21,F$22,$A93)/$B$3,"-")</f>
        <v>154.70500000000001</v>
      </c>
      <c r="G93" s="33">
        <f>IFERROR(_xll.KeyLookup($A$21,G$21,G$22,$A93)/$B$3,"-")</f>
        <v>154.70500000000001</v>
      </c>
      <c r="H93" s="33">
        <f>IFERROR(_xll.KeyLookup($A$21,H$21,H$22,$A93)/$B$3,"-")</f>
        <v>154.70500000000001</v>
      </c>
      <c r="I93" s="33">
        <f>IFERROR(_xll.KeyLookup($A$21,I$21,I$22,$A93)/$B$3,"-")</f>
        <v>154.70500000000001</v>
      </c>
      <c r="J93" s="33">
        <f>IFERROR(_xll.KeyLookup($A$21,J$21,J$22,$A93)/$B$3,"-")</f>
        <v>154.70500000000001</v>
      </c>
      <c r="K93" s="33">
        <f>IFERROR(_xll.KeyLookup($A$21,K$21,K$22,$A93)/$B$3,"-")</f>
        <v>154.70500000000001</v>
      </c>
      <c r="L93" s="33">
        <f>IFERROR(_xll.KeyLookup($A$21,L$21,L$22,$A93)/$B$3,"-")</f>
        <v>154.70500000000001</v>
      </c>
      <c r="M93" s="33">
        <f>IFERROR(_xll.KeyLookup($A$21,M$21,M$22,$A93)/$B$3,"-")</f>
        <v>154.70500000000001</v>
      </c>
      <c r="N93" s="33">
        <f>IFERROR(_xll.KeyLookup($A$21,N$21,N$22,$A93)/$B$3,"-")</f>
        <v>154.70500000000001</v>
      </c>
      <c r="O93" s="33">
        <f>IFERROR(_xll.KeyLookup($A$21,O$21,O$22,$A93)/$B$3,"-")</f>
        <v>154.70500000000001</v>
      </c>
      <c r="P93" s="33">
        <f>IFERROR(_xll.KeyLookup($A$21,P$21,P$22,$A93)/$B$3,"-")</f>
        <v>154.70500000000001</v>
      </c>
    </row>
    <row r="94" spans="1:16" x14ac:dyDescent="0.2">
      <c r="A94" s="26">
        <v>31301</v>
      </c>
      <c r="B94" s="1" t="str">
        <f>_xll.KeyName($A$21,A94)</f>
        <v>Reserves</v>
      </c>
      <c r="C94" s="33">
        <f>IFERROR(_xll.KeyLookup($A$21,C$21,C$22,$A94)/$B$3,"-")</f>
        <v>28.988</v>
      </c>
      <c r="D94" s="33">
        <f>IFERROR(_xll.KeyLookup($A$21,D$21,D$22,$A94)/$B$3,"-")</f>
        <v>27.062999999999999</v>
      </c>
      <c r="E94" s="33">
        <f>IFERROR(_xll.KeyLookup($A$21,E$21,E$22,$A94)/$B$3,"-")</f>
        <v>28.375</v>
      </c>
      <c r="F94" s="33">
        <f>IFERROR(_xll.KeyLookup($A$21,F$21,F$22,$A94)/$B$3,"-")</f>
        <v>26.164000000000001</v>
      </c>
      <c r="G94" s="33">
        <f>IFERROR(_xll.KeyLookup($A$21,G$21,G$22,$A94)/$B$3,"-")</f>
        <v>27.713000000000001</v>
      </c>
      <c r="H94" s="33">
        <f>IFERROR(_xll.KeyLookup($A$21,H$21,H$22,$A94)/$B$3,"-")</f>
        <v>27.004000000000001</v>
      </c>
      <c r="I94" s="33">
        <f>IFERROR(_xll.KeyLookup($A$21,I$21,I$22,$A94)/$B$3,"-")</f>
        <v>28.751999999999999</v>
      </c>
      <c r="J94" s="33">
        <f>IFERROR(_xll.KeyLookup($A$21,J$21,J$22,$A94)/$B$3,"-")</f>
        <v>31.706</v>
      </c>
      <c r="K94" s="33">
        <f>IFERROR(_xll.KeyLookup($A$21,K$21,K$22,$A94)/$B$3,"-")</f>
        <v>30.152999999999999</v>
      </c>
      <c r="L94" s="33">
        <f>IFERROR(_xll.KeyLookup($A$21,L$21,L$22,$A94)/$B$3,"-")</f>
        <v>32.482999999999997</v>
      </c>
      <c r="M94" s="33">
        <f>IFERROR(_xll.KeyLookup($A$21,M$21,M$22,$A94)/$B$3,"-")</f>
        <v>26.768999999999998</v>
      </c>
      <c r="N94" s="33">
        <f>IFERROR(_xll.KeyLookup($A$21,N$21,N$22,$A94)/$B$3,"-")</f>
        <v>3.1949999999999998</v>
      </c>
      <c r="O94" s="33">
        <f>IFERROR(_xll.KeyLookup($A$21,O$21,O$22,$A94)/$B$3,"-")</f>
        <v>6.2649999999999997</v>
      </c>
      <c r="P94" s="33">
        <f>IFERROR(_xll.KeyLookup($A$21,P$21,P$22,$A94)/$B$3,"-")</f>
        <v>21.466000000000001</v>
      </c>
    </row>
    <row r="95" spans="1:16" x14ac:dyDescent="0.2">
      <c r="A95" s="26">
        <v>31801</v>
      </c>
      <c r="B95" s="1" t="str">
        <f>_xll.KeyName($A$21,A95)</f>
        <v>Retained earnings</v>
      </c>
      <c r="C95" s="33">
        <f>IFERROR(_xll.KeyLookup($A$21,C$21,C$22,$A95)/$B$3,"-")</f>
        <v>16.866</v>
      </c>
      <c r="D95" s="33">
        <f>IFERROR(_xll.KeyLookup($A$21,D$21,D$22,$A95)/$B$3,"-")</f>
        <v>31.143000000000001</v>
      </c>
      <c r="E95" s="33">
        <f>IFERROR(_xll.KeyLookup($A$21,E$21,E$22,$A95)/$B$3,"-")</f>
        <v>82.415000000000006</v>
      </c>
      <c r="F95" s="33">
        <f>IFERROR(_xll.KeyLookup($A$21,F$21,F$22,$A95)/$B$3,"-")</f>
        <v>74.23</v>
      </c>
      <c r="G95" s="33">
        <f>IFERROR(_xll.KeyLookup($A$21,G$21,G$22,$A95)/$B$3,"-")</f>
        <v>44.146000000000001</v>
      </c>
      <c r="H95" s="33">
        <f>IFERROR(_xll.KeyLookup($A$21,H$21,H$22,$A95)/$B$3,"-")</f>
        <v>62.673000000000002</v>
      </c>
      <c r="I95" s="33">
        <f>IFERROR(_xll.KeyLookup($A$21,I$21,I$22,$A95)/$B$3,"-")</f>
        <v>127.94</v>
      </c>
      <c r="J95" s="33">
        <f>IFERROR(_xll.KeyLookup($A$21,J$21,J$22,$A95)/$B$3,"-")</f>
        <v>118.85599999999999</v>
      </c>
      <c r="K95" s="33">
        <f>IFERROR(_xll.KeyLookup($A$21,K$21,K$22,$A95)/$B$3,"-")</f>
        <v>73.043999999999997</v>
      </c>
      <c r="L95" s="33">
        <f>IFERROR(_xll.KeyLookup($A$21,L$21,L$22,$A95)/$B$3,"-")</f>
        <v>95.509</v>
      </c>
      <c r="M95" s="33">
        <f>IFERROR(_xll.KeyLookup($A$21,M$21,M$22,$A95)/$B$3,"-")</f>
        <v>181.24299999999999</v>
      </c>
      <c r="N95" s="33">
        <f>IFERROR(_xll.KeyLookup($A$21,N$21,N$22,$A95)/$B$3,"-")</f>
        <v>166.37100000000001</v>
      </c>
      <c r="O95" s="33">
        <f>IFERROR(_xll.KeyLookup($A$21,O$21,O$22,$A95)/$B$3,"-")</f>
        <v>133.92599999999999</v>
      </c>
      <c r="P95" s="33">
        <f>IFERROR(_xll.KeyLookup($A$21,P$21,P$22,$A95)/$B$3,"-")</f>
        <v>156.27799999999999</v>
      </c>
    </row>
    <row r="96" spans="1:16" x14ac:dyDescent="0.2">
      <c r="A96" s="26">
        <v>31901</v>
      </c>
      <c r="B96" s="1" t="str">
        <f>_xll.KeyName($A$21,A96)</f>
        <v>Non-controlling interest</v>
      </c>
      <c r="C96" s="33">
        <f>IFERROR(_xll.KeyLookup($A$21,C$21,C$22,$A96)/$B$3,"-")</f>
        <v>0.20300000000000001</v>
      </c>
      <c r="D96" s="33">
        <f>IFERROR(_xll.KeyLookup($A$21,D$21,D$22,$A96)/$B$3,"-")</f>
        <v>0.20499999999999999</v>
      </c>
      <c r="E96" s="33">
        <f>IFERROR(_xll.KeyLookup($A$21,E$21,E$22,$A96)/$B$3,"-")</f>
        <v>0.29699999999999999</v>
      </c>
      <c r="F96" s="33">
        <f>IFERROR(_xll.KeyLookup($A$21,F$21,F$22,$A96)/$B$3,"-")</f>
        <v>0.25700000000000001</v>
      </c>
      <c r="G96" s="33">
        <f>IFERROR(_xll.KeyLookup($A$21,G$21,G$22,$A96)/$B$3,"-")</f>
        <v>0.16800000000000001</v>
      </c>
      <c r="H96" s="33">
        <f>IFERROR(_xll.KeyLookup($A$21,H$21,H$22,$A96)/$B$3,"-")</f>
        <v>0.187</v>
      </c>
      <c r="I96" s="33">
        <f>IFERROR(_xll.KeyLookup($A$21,I$21,I$22,$A96)/$B$3,"-")</f>
        <v>0.253</v>
      </c>
      <c r="J96" s="33">
        <f>IFERROR(_xll.KeyLookup($A$21,J$21,J$22,$A96)/$B$3,"-")</f>
        <v>0.23899999999999999</v>
      </c>
      <c r="K96" s="33">
        <f>IFERROR(_xll.KeyLookup($A$21,K$21,K$22,$A96)/$B$3,"-")</f>
        <v>0.24399999999999999</v>
      </c>
      <c r="L96" s="33">
        <f>IFERROR(_xll.KeyLookup($A$21,L$21,L$22,$A96)/$B$3,"-")</f>
        <v>0.27</v>
      </c>
      <c r="M96" s="33">
        <f>IFERROR(_xll.KeyLookup($A$21,M$21,M$22,$A96)/$B$3,"-")</f>
        <v>0.314</v>
      </c>
      <c r="N96" s="33">
        <f>IFERROR(_xll.KeyLookup($A$21,N$21,N$22,$A96)/$B$3,"-")</f>
        <v>0.20799999999999999</v>
      </c>
      <c r="O96" s="33">
        <f>IFERROR(_xll.KeyLookup($A$21,O$21,O$22,$A96)/$B$3,"-")</f>
        <v>0.14399999999999999</v>
      </c>
      <c r="P96" s="33">
        <f>IFERROR(_xll.KeyLookup($A$21,P$21,P$22,$A96)/$B$3,"-")</f>
        <v>0.16200000000000001</v>
      </c>
    </row>
    <row r="97" spans="1:16" x14ac:dyDescent="0.2">
      <c r="A97" s="20" t="s">
        <v>2</v>
      </c>
      <c r="B97" s="21" t="str">
        <f>_xll.KeyName($A$21,A97)</f>
        <v>Equity</v>
      </c>
      <c r="C97" s="35">
        <f>IFERROR(_xll.KeyLookup($A$21,C$21,C$22,$A97)/$B$3,"-")</f>
        <v>241.33799999999999</v>
      </c>
      <c r="D97" s="35">
        <f>IFERROR(_xll.KeyLookup($A$21,D$21,D$22,$A97)/$B$3,"-")</f>
        <v>253.69200000000001</v>
      </c>
      <c r="E97" s="35">
        <f>IFERROR(_xll.KeyLookup($A$21,E$21,E$22,$A97)/$B$3,"-")</f>
        <v>306.36799999999999</v>
      </c>
      <c r="F97" s="35">
        <f>IFERROR(_xll.KeyLookup($A$21,F$21,F$22,$A97)/$B$3,"-")</f>
        <v>295.93200000000002</v>
      </c>
      <c r="G97" s="35">
        <f>IFERROR(_xll.KeyLookup($A$21,G$21,G$22,$A97)/$B$3,"-")</f>
        <v>267.30799999999999</v>
      </c>
      <c r="H97" s="35">
        <f>IFERROR(_xll.KeyLookup($A$21,H$21,H$22,$A97)/$B$3,"-")</f>
        <v>285.14499999999998</v>
      </c>
      <c r="I97" s="35">
        <f>IFERROR(_xll.KeyLookup($A$21,I$21,I$22,$A97)/$B$3,"-")</f>
        <v>352.226</v>
      </c>
      <c r="J97" s="35">
        <f>IFERROR(_xll.KeyLookup($A$21,J$21,J$22,$A97)/$B$3,"-")</f>
        <v>346.08199999999999</v>
      </c>
      <c r="K97" s="35">
        <f>IFERROR(_xll.KeyLookup($A$21,K$21,K$22,$A97)/$B$3,"-")</f>
        <v>298.72199999999998</v>
      </c>
      <c r="L97" s="35">
        <f>IFERROR(_xll.KeyLookup($A$21,L$21,L$22,$A97)/$B$3,"-")</f>
        <v>323.54300000000001</v>
      </c>
      <c r="M97" s="35">
        <f>IFERROR(_xll.KeyLookup($A$21,M$21,M$22,$A97)/$B$3,"-")</f>
        <v>403.60700000000003</v>
      </c>
      <c r="N97" s="35">
        <f>IFERROR(_xll.KeyLookup($A$21,N$21,N$22,$A97)/$B$3,"-")</f>
        <v>365.05500000000001</v>
      </c>
      <c r="O97" s="35">
        <f>IFERROR(_xll.KeyLookup($A$21,O$21,O$22,$A97)/$B$3,"-")</f>
        <v>335.61599999999999</v>
      </c>
      <c r="P97" s="35">
        <f>IFERROR(_xll.KeyLookup($A$21,P$21,P$22,$A97)/$B$3,"-")</f>
        <v>373.18599999999998</v>
      </c>
    </row>
    <row r="98" spans="1:16" x14ac:dyDescent="0.2">
      <c r="A98" s="26">
        <v>41101</v>
      </c>
      <c r="B98" s="1" t="str">
        <f>_xll.KeyName($A$21,A98)</f>
        <v>Loans and borrowings</v>
      </c>
      <c r="C98" s="33">
        <f>IFERROR(_xll.KeyLookup($A$21,C$21,C$22,$A98)/$B$3,"-")</f>
        <v>140.81899999999999</v>
      </c>
      <c r="D98" s="33">
        <f>IFERROR(_xll.KeyLookup($A$21,D$21,D$22,$A98)/$B$3,"-")</f>
        <v>136.71100000000001</v>
      </c>
      <c r="E98" s="33">
        <f>IFERROR(_xll.KeyLookup($A$21,E$21,E$22,$A98)/$B$3,"-")</f>
        <v>126.682</v>
      </c>
      <c r="F98" s="33">
        <f>IFERROR(_xll.KeyLookup($A$21,F$21,F$22,$A98)/$B$3,"-")</f>
        <v>119.358</v>
      </c>
      <c r="G98" s="33">
        <f>IFERROR(_xll.KeyLookup($A$21,G$21,G$22,$A98)/$B$3,"-")</f>
        <v>91.087999999999994</v>
      </c>
      <c r="H98" s="33">
        <f>IFERROR(_xll.KeyLookup($A$21,H$21,H$22,$A98)/$B$3,"-")</f>
        <v>87.433000000000007</v>
      </c>
      <c r="I98" s="33">
        <f>IFERROR(_xll.KeyLookup($A$21,I$21,I$22,$A98)/$B$3,"-")</f>
        <v>83.552999999999997</v>
      </c>
      <c r="J98" s="33">
        <f>IFERROR(_xll.KeyLookup($A$21,J$21,J$22,$A98)/$B$3,"-")</f>
        <v>78.489000000000004</v>
      </c>
      <c r="K98" s="33">
        <f>IFERROR(_xll.KeyLookup($A$21,K$21,K$22,$A98)/$B$3,"-")</f>
        <v>74.599999999999994</v>
      </c>
      <c r="L98" s="33">
        <f>IFERROR(_xll.KeyLookup($A$21,L$21,L$22,$A98)/$B$3,"-")</f>
        <v>46.552999999999997</v>
      </c>
      <c r="M98" s="33">
        <f>IFERROR(_xll.KeyLookup($A$21,M$21,M$22,$A98)/$B$3,"-")</f>
        <v>42.957000000000001</v>
      </c>
      <c r="N98" s="33">
        <f>IFERROR(_xll.KeyLookup($A$21,N$21,N$22,$A98)/$B$3,"-")</f>
        <v>49.670999999999999</v>
      </c>
      <c r="O98" s="33">
        <f>IFERROR(_xll.KeyLookup($A$21,O$21,O$22,$A98)/$B$3,"-")</f>
        <v>68.557000000000002</v>
      </c>
      <c r="P98" s="33">
        <f>IFERROR(_xll.KeyLookup($A$21,P$21,P$22,$A98)/$B$3,"-")</f>
        <v>66.055999999999997</v>
      </c>
    </row>
    <row r="99" spans="1:16" x14ac:dyDescent="0.2">
      <c r="A99" s="26">
        <v>41201</v>
      </c>
      <c r="B99" s="1" t="str">
        <f>_xll.KeyName($A$21,A99)</f>
        <v>Other payables</v>
      </c>
      <c r="C99" s="33">
        <f>IFERROR(_xll.KeyLookup($A$21,C$21,C$22,$A99)/$B$3,"-")</f>
        <v>28.443999999999999</v>
      </c>
      <c r="D99" s="33">
        <f>IFERROR(_xll.KeyLookup($A$21,D$21,D$22,$A99)/$B$3,"-")</f>
        <v>28.259</v>
      </c>
      <c r="E99" s="33">
        <f>IFERROR(_xll.KeyLookup($A$21,E$21,E$22,$A99)/$B$3,"-")</f>
        <v>24.588000000000001</v>
      </c>
      <c r="F99" s="33">
        <f>IFERROR(_xll.KeyLookup($A$21,F$21,F$22,$A99)/$B$3,"-")</f>
        <v>22.06</v>
      </c>
      <c r="G99" s="33">
        <f>IFERROR(_xll.KeyLookup($A$21,G$21,G$22,$A99)/$B$3,"-")</f>
        <v>21.436</v>
      </c>
      <c r="H99" s="33">
        <f>IFERROR(_xll.KeyLookup($A$21,H$21,H$22,$A99)/$B$3,"-")</f>
        <v>22.72</v>
      </c>
      <c r="I99" s="33">
        <f>IFERROR(_xll.KeyLookup($A$21,I$21,I$22,$A99)/$B$3,"-")</f>
        <v>17.79</v>
      </c>
      <c r="J99" s="33">
        <f>IFERROR(_xll.KeyLookup($A$21,J$21,J$22,$A99)/$B$3,"-")</f>
        <v>23.742000000000001</v>
      </c>
      <c r="K99" s="33">
        <f>IFERROR(_xll.KeyLookup($A$21,K$21,K$22,$A99)/$B$3,"-")</f>
        <v>18.074999999999999</v>
      </c>
      <c r="L99" s="33">
        <f>IFERROR(_xll.KeyLookup($A$21,L$21,L$22,$A99)/$B$3,"-")</f>
        <v>25.274000000000001</v>
      </c>
      <c r="M99" s="33">
        <f>IFERROR(_xll.KeyLookup($A$21,M$21,M$22,$A99)/$B$3,"-")</f>
        <v>15.167999999999999</v>
      </c>
      <c r="N99" s="33">
        <f>IFERROR(_xll.KeyLookup($A$21,N$21,N$22,$A99)/$B$3,"-")</f>
        <v>8.2910000000000004</v>
      </c>
      <c r="O99" s="33">
        <f>IFERROR(_xll.KeyLookup($A$21,O$21,O$22,$A99)/$B$3,"-")</f>
        <v>8.7289999999999992</v>
      </c>
      <c r="P99" s="33">
        <f>IFERROR(_xll.KeyLookup($A$21,P$21,P$22,$A99)/$B$3,"-")</f>
        <v>7.3650000000000002</v>
      </c>
    </row>
    <row r="100" spans="1:16" x14ac:dyDescent="0.2">
      <c r="A100" s="26">
        <v>41701</v>
      </c>
      <c r="B100" s="1" t="str">
        <f>_xll.KeyName($A$21,A100)</f>
        <v>Deferred tax liabilities</v>
      </c>
      <c r="C100" s="33">
        <f>IFERROR(_xll.KeyLookup($A$21,C$21,C$22,$A100)/$B$3,"-")</f>
        <v>4.6180000000000003</v>
      </c>
      <c r="D100" s="33">
        <f>IFERROR(_xll.KeyLookup($A$21,D$21,D$22,$A100)/$B$3,"-")</f>
        <v>6.6020000000000003</v>
      </c>
      <c r="E100" s="33">
        <f>IFERROR(_xll.KeyLookup($A$21,E$21,E$22,$A100)/$B$3,"-")</f>
        <v>19.715</v>
      </c>
      <c r="F100" s="33">
        <f>IFERROR(_xll.KeyLookup($A$21,F$21,F$22,$A100)/$B$3,"-")</f>
        <v>19.670999999999999</v>
      </c>
      <c r="G100" s="33">
        <f>IFERROR(_xll.KeyLookup($A$21,G$21,G$22,$A100)/$B$3,"-")</f>
        <v>15.21</v>
      </c>
      <c r="H100" s="33">
        <f>IFERROR(_xll.KeyLookup($A$21,H$21,H$22,$A100)/$B$3,"-")</f>
        <v>20.376000000000001</v>
      </c>
      <c r="I100" s="33">
        <f>IFERROR(_xll.KeyLookup($A$21,I$21,I$22,$A100)/$B$3,"-")</f>
        <v>36.524000000000001</v>
      </c>
      <c r="J100" s="33">
        <f>IFERROR(_xll.KeyLookup($A$21,J$21,J$22,$A100)/$B$3,"-")</f>
        <v>27.995000000000001</v>
      </c>
      <c r="K100" s="33">
        <f>IFERROR(_xll.KeyLookup($A$21,K$21,K$22,$A100)/$B$3,"-")</f>
        <v>21.273</v>
      </c>
      <c r="L100" s="33">
        <f>IFERROR(_xll.KeyLookup($A$21,L$21,L$22,$A100)/$B$3,"-")</f>
        <v>26.84</v>
      </c>
      <c r="M100" s="33">
        <f>IFERROR(_xll.KeyLookup($A$21,M$21,M$22,$A100)/$B$3,"-")</f>
        <v>43.88</v>
      </c>
      <c r="N100" s="33">
        <f>IFERROR(_xll.KeyLookup($A$21,N$21,N$22,$A100)/$B$3,"-")</f>
        <v>24.681000000000001</v>
      </c>
      <c r="O100" s="33">
        <f>IFERROR(_xll.KeyLookup($A$21,O$21,O$22,$A100)/$B$3,"-")</f>
        <v>21.09</v>
      </c>
      <c r="P100" s="33">
        <f>IFERROR(_xll.KeyLookup($A$21,P$21,P$22,$A100)/$B$3,"-")</f>
        <v>30.846</v>
      </c>
    </row>
    <row r="101" spans="1:16" x14ac:dyDescent="0.2">
      <c r="A101" s="20" t="s">
        <v>13</v>
      </c>
      <c r="B101" s="21" t="str">
        <f>_xll.KeyName($A$21,A101)</f>
        <v>Non Current Liabilities</v>
      </c>
      <c r="C101" s="35">
        <f>IFERROR(_xll.KeyLookup($A$21,C$21,C$22,$A101)/$B$3,"-")</f>
        <v>173.881</v>
      </c>
      <c r="D101" s="35">
        <f>IFERROR(_xll.KeyLookup($A$21,D$21,D$22,$A101)/$B$3,"-")</f>
        <v>171.572</v>
      </c>
      <c r="E101" s="35">
        <f>IFERROR(_xll.KeyLookup($A$21,E$21,E$22,$A101)/$B$3,"-")</f>
        <v>170.98500000000001</v>
      </c>
      <c r="F101" s="35">
        <f>IFERROR(_xll.KeyLookup($A$21,F$21,F$22,$A101)/$B$3,"-")</f>
        <v>161.089</v>
      </c>
      <c r="G101" s="35">
        <f>IFERROR(_xll.KeyLookup($A$21,G$21,G$22,$A101)/$B$3,"-")</f>
        <v>127.73399999999999</v>
      </c>
      <c r="H101" s="35">
        <f>IFERROR(_xll.KeyLookup($A$21,H$21,H$22,$A101)/$B$3,"-")</f>
        <v>130.529</v>
      </c>
      <c r="I101" s="35">
        <f>IFERROR(_xll.KeyLookup($A$21,I$21,I$22,$A101)/$B$3,"-")</f>
        <v>137.86699999999999</v>
      </c>
      <c r="J101" s="35">
        <f>IFERROR(_xll.KeyLookup($A$21,J$21,J$22,$A101)/$B$3,"-")</f>
        <v>130.226</v>
      </c>
      <c r="K101" s="35">
        <f>IFERROR(_xll.KeyLookup($A$21,K$21,K$22,$A101)/$B$3,"-")</f>
        <v>113.94799999999999</v>
      </c>
      <c r="L101" s="35">
        <f>IFERROR(_xll.KeyLookup($A$21,L$21,L$22,$A101)/$B$3,"-")</f>
        <v>98.667000000000002</v>
      </c>
      <c r="M101" s="35">
        <f>IFERROR(_xll.KeyLookup($A$21,M$21,M$22,$A101)/$B$3,"-")</f>
        <v>102.005</v>
      </c>
      <c r="N101" s="35">
        <f>IFERROR(_xll.KeyLookup($A$21,N$21,N$22,$A101)/$B$3,"-")</f>
        <v>82.643000000000001</v>
      </c>
      <c r="O101" s="35">
        <f>IFERROR(_xll.KeyLookup($A$21,O$21,O$22,$A101)/$B$3,"-")</f>
        <v>98.376000000000005</v>
      </c>
      <c r="P101" s="35">
        <f>IFERROR(_xll.KeyLookup($A$21,P$21,P$22,$A101)/$B$3,"-")</f>
        <v>104.267</v>
      </c>
    </row>
    <row r="102" spans="1:16" x14ac:dyDescent="0.2">
      <c r="A102" s="26">
        <v>42101</v>
      </c>
      <c r="B102" s="1" t="str">
        <f>_xll.KeyName($A$21,A102)</f>
        <v>Trade and other payables</v>
      </c>
      <c r="C102" s="33">
        <f>IFERROR(_xll.KeyLookup($A$21,C$21,C$22,$A102)/$B$3,"-")</f>
        <v>145.1</v>
      </c>
      <c r="D102" s="33">
        <f>IFERROR(_xll.KeyLookup($A$21,D$21,D$22,$A102)/$B$3,"-")</f>
        <v>172.18899999999999</v>
      </c>
      <c r="E102" s="33">
        <f>IFERROR(_xll.KeyLookup($A$21,E$21,E$22,$A102)/$B$3,"-")</f>
        <v>173.29599999999999</v>
      </c>
      <c r="F102" s="33">
        <f>IFERROR(_xll.KeyLookup($A$21,F$21,F$22,$A102)/$B$3,"-")</f>
        <v>152.23699999999999</v>
      </c>
      <c r="G102" s="33">
        <f>IFERROR(_xll.KeyLookup($A$21,G$21,G$22,$A102)/$B$3,"-")</f>
        <v>174.5</v>
      </c>
      <c r="H102" s="33">
        <f>IFERROR(_xll.KeyLookup($A$21,H$21,H$22,$A102)/$B$3,"-")</f>
        <v>206.03100000000001</v>
      </c>
      <c r="I102" s="33">
        <f>IFERROR(_xll.KeyLookup($A$21,I$21,I$22,$A102)/$B$3,"-")</f>
        <v>202.65100000000001</v>
      </c>
      <c r="J102" s="33">
        <f>IFERROR(_xll.KeyLookup($A$21,J$21,J$22,$A102)/$B$3,"-")</f>
        <v>159.50399999999999</v>
      </c>
      <c r="K102" s="33">
        <f>IFERROR(_xll.KeyLookup($A$21,K$21,K$22,$A102)/$B$3,"-")</f>
        <v>204.965</v>
      </c>
      <c r="L102" s="33">
        <f>IFERROR(_xll.KeyLookup($A$21,L$21,L$22,$A102)/$B$3,"-")</f>
        <v>216.423</v>
      </c>
      <c r="M102" s="33">
        <f>IFERROR(_xll.KeyLookup($A$21,M$21,M$22,$A102)/$B$3,"-")</f>
        <v>202.458</v>
      </c>
      <c r="N102" s="33">
        <f>IFERROR(_xll.KeyLookup($A$21,N$21,N$22,$A102)/$B$3,"-")</f>
        <v>214.315</v>
      </c>
      <c r="O102" s="33">
        <f>IFERROR(_xll.KeyLookup($A$21,O$21,O$22,$A102)/$B$3,"-")</f>
        <v>248.95699999999999</v>
      </c>
      <c r="P102" s="33">
        <f>IFERROR(_xll.KeyLookup($A$21,P$21,P$22,$A102)/$B$3,"-")</f>
        <v>237.19800000000001</v>
      </c>
    </row>
    <row r="103" spans="1:16" x14ac:dyDescent="0.2">
      <c r="A103" s="26">
        <v>42201</v>
      </c>
      <c r="B103" s="1" t="str">
        <f>_xll.KeyName($A$21,A103)</f>
        <v>Loans and borrowings</v>
      </c>
      <c r="C103" s="33">
        <f>IFERROR(_xll.KeyLookup($A$21,C$21,C$22,$A103)/$B$3,"-")</f>
        <v>30.334</v>
      </c>
      <c r="D103" s="33">
        <f>IFERROR(_xll.KeyLookup($A$21,D$21,D$22,$A103)/$B$3,"-")</f>
        <v>30.385000000000002</v>
      </c>
      <c r="E103" s="33">
        <f>IFERROR(_xll.KeyLookup($A$21,E$21,E$22,$A103)/$B$3,"-")</f>
        <v>31.443999999999999</v>
      </c>
      <c r="F103" s="33">
        <f>IFERROR(_xll.KeyLookup($A$21,F$21,F$22,$A103)/$B$3,"-")</f>
        <v>31.547999999999998</v>
      </c>
      <c r="G103" s="33">
        <f>IFERROR(_xll.KeyLookup($A$21,G$21,G$22,$A103)/$B$3,"-")</f>
        <v>49.417999999999999</v>
      </c>
      <c r="H103" s="33">
        <f>IFERROR(_xll.KeyLookup($A$21,H$21,H$22,$A103)/$B$3,"-")</f>
        <v>49.633000000000003</v>
      </c>
      <c r="I103" s="33">
        <f>IFERROR(_xll.KeyLookup($A$21,I$21,I$22,$A103)/$B$3,"-")</f>
        <v>44.908999999999999</v>
      </c>
      <c r="J103" s="33">
        <f>IFERROR(_xll.KeyLookup($A$21,J$21,J$22,$A103)/$B$3,"-")</f>
        <v>43.527999999999999</v>
      </c>
      <c r="K103" s="33">
        <f>IFERROR(_xll.KeyLookup($A$21,K$21,K$22,$A103)/$B$3,"-")</f>
        <v>19.126999999999999</v>
      </c>
      <c r="L103" s="33">
        <f>IFERROR(_xll.KeyLookup($A$21,L$21,L$22,$A103)/$B$3,"-")</f>
        <v>13.651999999999999</v>
      </c>
      <c r="M103" s="33">
        <f>IFERROR(_xll.KeyLookup($A$21,M$21,M$22,$A103)/$B$3,"-")</f>
        <v>12.512</v>
      </c>
      <c r="N103" s="33">
        <f>IFERROR(_xll.KeyLookup($A$21,N$21,N$22,$A103)/$B$3,"-")</f>
        <v>12.263</v>
      </c>
      <c r="O103" s="33">
        <f>IFERROR(_xll.KeyLookup($A$21,O$21,O$22,$A103)/$B$3,"-")</f>
        <v>12.23</v>
      </c>
      <c r="P103" s="33">
        <f>IFERROR(_xll.KeyLookup($A$21,P$21,P$22,$A103)/$B$3,"-")</f>
        <v>12.443</v>
      </c>
    </row>
    <row r="104" spans="1:16" x14ac:dyDescent="0.2">
      <c r="A104" s="26">
        <v>42701</v>
      </c>
      <c r="B104" s="1" t="str">
        <f>_xll.KeyName($A$21,A104)</f>
        <v>Deferred income</v>
      </c>
      <c r="C104" s="33">
        <f>IFERROR(_xll.KeyLookup($A$21,C$21,C$22,$A104)/$B$3,"-")</f>
        <v>189.61600000000001</v>
      </c>
      <c r="D104" s="33">
        <f>IFERROR(_xll.KeyLookup($A$21,D$21,D$22,$A104)/$B$3,"-")</f>
        <v>193.84</v>
      </c>
      <c r="E104" s="33">
        <f>IFERROR(_xll.KeyLookup($A$21,E$21,E$22,$A104)/$B$3,"-")</f>
        <v>112.59</v>
      </c>
      <c r="F104" s="33">
        <f>IFERROR(_xll.KeyLookup($A$21,F$21,F$22,$A104)/$B$3,"-")</f>
        <v>122.089</v>
      </c>
      <c r="G104" s="33">
        <f>IFERROR(_xll.KeyLookup($A$21,G$21,G$22,$A104)/$B$3,"-")</f>
        <v>215.95</v>
      </c>
      <c r="H104" s="33">
        <f>IFERROR(_xll.KeyLookup($A$21,H$21,H$22,$A104)/$B$3,"-")</f>
        <v>229.97</v>
      </c>
      <c r="I104" s="33">
        <f>IFERROR(_xll.KeyLookup($A$21,I$21,I$22,$A104)/$B$3,"-")</f>
        <v>139.83699999999999</v>
      </c>
      <c r="J104" s="33">
        <f>IFERROR(_xll.KeyLookup($A$21,J$21,J$22,$A104)/$B$3,"-")</f>
        <v>153.535</v>
      </c>
      <c r="K104" s="33">
        <f>IFERROR(_xll.KeyLookup($A$21,K$21,K$22,$A104)/$B$3,"-")</f>
        <v>290.529</v>
      </c>
      <c r="L104" s="33">
        <f>IFERROR(_xll.KeyLookup($A$21,L$21,L$22,$A104)/$B$3,"-")</f>
        <v>295.30500000000001</v>
      </c>
      <c r="M104" s="33">
        <f>IFERROR(_xll.KeyLookup($A$21,M$21,M$22,$A104)/$B$3,"-")</f>
        <v>156.65100000000001</v>
      </c>
      <c r="N104" s="33">
        <f>IFERROR(_xll.KeyLookup($A$21,N$21,N$22,$A104)/$B$3,"-")</f>
        <v>174.94399999999999</v>
      </c>
      <c r="O104" s="33">
        <f>IFERROR(_xll.KeyLookup($A$21,O$21,O$22,$A104)/$B$3,"-")</f>
        <v>297.78399999999999</v>
      </c>
      <c r="P104" s="33">
        <f>IFERROR(_xll.KeyLookup($A$21,P$21,P$22,$A104)/$B$3,"-")</f>
        <v>311.30799999999999</v>
      </c>
    </row>
    <row r="105" spans="1:16" x14ac:dyDescent="0.2">
      <c r="A105" s="20" t="s">
        <v>14</v>
      </c>
      <c r="B105" s="21" t="str">
        <f>_xll.KeyName($A$21,A105)</f>
        <v>Current Liabilities</v>
      </c>
      <c r="C105" s="35">
        <f>IFERROR(_xll.KeyLookup($A$21,C$21,C$22,$A105)/$B$3,"-")</f>
        <v>365.05</v>
      </c>
      <c r="D105" s="35">
        <f>IFERROR(_xll.KeyLookup($A$21,D$21,D$22,$A105)/$B$3,"-")</f>
        <v>396.41399999999999</v>
      </c>
      <c r="E105" s="35">
        <f>IFERROR(_xll.KeyLookup($A$21,E$21,E$22,$A105)/$B$3,"-")</f>
        <v>317.33</v>
      </c>
      <c r="F105" s="35">
        <f>IFERROR(_xll.KeyLookup($A$21,F$21,F$22,$A105)/$B$3,"-")</f>
        <v>305.87400000000002</v>
      </c>
      <c r="G105" s="35">
        <f>IFERROR(_xll.KeyLookup($A$21,G$21,G$22,$A105)/$B$3,"-")</f>
        <v>439.86799999999999</v>
      </c>
      <c r="H105" s="35">
        <f>IFERROR(_xll.KeyLookup($A$21,H$21,H$22,$A105)/$B$3,"-")</f>
        <v>485.63400000000001</v>
      </c>
      <c r="I105" s="35">
        <f>IFERROR(_xll.KeyLookup($A$21,I$21,I$22,$A105)/$B$3,"-")</f>
        <v>387.39699999999999</v>
      </c>
      <c r="J105" s="35">
        <f>IFERROR(_xll.KeyLookup($A$21,J$21,J$22,$A105)/$B$3,"-")</f>
        <v>356.56700000000001</v>
      </c>
      <c r="K105" s="35">
        <f>IFERROR(_xll.KeyLookup($A$21,K$21,K$22,$A105)/$B$3,"-")</f>
        <v>514.62099999999998</v>
      </c>
      <c r="L105" s="35">
        <f>IFERROR(_xll.KeyLookup($A$21,L$21,L$22,$A105)/$B$3,"-")</f>
        <v>525.38</v>
      </c>
      <c r="M105" s="35">
        <f>IFERROR(_xll.KeyLookup($A$21,M$21,M$22,$A105)/$B$3,"-")</f>
        <v>371.62099999999998</v>
      </c>
      <c r="N105" s="35">
        <f>IFERROR(_xll.KeyLookup($A$21,N$21,N$22,$A105)/$B$3,"-")</f>
        <v>401.52199999999999</v>
      </c>
      <c r="O105" s="35">
        <f>IFERROR(_xll.KeyLookup($A$21,O$21,O$22,$A105)/$B$3,"-")</f>
        <v>558.971</v>
      </c>
      <c r="P105" s="35">
        <f>IFERROR(_xll.KeyLookup($A$21,P$21,P$22,$A105)/$B$3,"-")</f>
        <v>560.94899999999996</v>
      </c>
    </row>
    <row r="106" spans="1:16" x14ac:dyDescent="0.2">
      <c r="A106" s="20" t="s">
        <v>15</v>
      </c>
      <c r="B106" s="21" t="str">
        <f>_xll.KeyName($A$21,A106)</f>
        <v>Total Liabilities</v>
      </c>
      <c r="C106" s="35">
        <f>IFERROR(_xll.KeyLookup($A$21,C$21,C$22,$A106)/$B$3,"-")</f>
        <v>538.93100000000004</v>
      </c>
      <c r="D106" s="35">
        <f>IFERROR(_xll.KeyLookup($A$21,D$21,D$22,$A106)/$B$3,"-")</f>
        <v>567.98599999999999</v>
      </c>
      <c r="E106" s="35">
        <f>IFERROR(_xll.KeyLookup($A$21,E$21,E$22,$A106)/$B$3,"-")</f>
        <v>488.315</v>
      </c>
      <c r="F106" s="35">
        <f>IFERROR(_xll.KeyLookup($A$21,F$21,F$22,$A106)/$B$3,"-")</f>
        <v>466.96300000000002</v>
      </c>
      <c r="G106" s="35">
        <f>IFERROR(_xll.KeyLookup($A$21,G$21,G$22,$A106)/$B$3,"-")</f>
        <v>567.60199999999998</v>
      </c>
      <c r="H106" s="35">
        <f>IFERROR(_xll.KeyLookup($A$21,H$21,H$22,$A106)/$B$3,"-")</f>
        <v>616.16300000000001</v>
      </c>
      <c r="I106" s="35">
        <f>IFERROR(_xll.KeyLookup($A$21,I$21,I$22,$A106)/$B$3,"-")</f>
        <v>525.26400000000001</v>
      </c>
      <c r="J106" s="35">
        <f>IFERROR(_xll.KeyLookup($A$21,J$21,J$22,$A106)/$B$3,"-")</f>
        <v>486.79300000000001</v>
      </c>
      <c r="K106" s="35">
        <f>IFERROR(_xll.KeyLookup($A$21,K$21,K$22,$A106)/$B$3,"-")</f>
        <v>628.56899999999996</v>
      </c>
      <c r="L106" s="35">
        <f>IFERROR(_xll.KeyLookup($A$21,L$21,L$22,$A106)/$B$3,"-")</f>
        <v>624.04700000000003</v>
      </c>
      <c r="M106" s="35">
        <f>IFERROR(_xll.KeyLookup($A$21,M$21,M$22,$A106)/$B$3,"-")</f>
        <v>473.62599999999998</v>
      </c>
      <c r="N106" s="35">
        <f>IFERROR(_xll.KeyLookup($A$21,N$21,N$22,$A106)/$B$3,"-")</f>
        <v>484.16500000000002</v>
      </c>
      <c r="O106" s="35">
        <f>IFERROR(_xll.KeyLookup($A$21,O$21,O$22,$A106)/$B$3,"-")</f>
        <v>657.34699999999998</v>
      </c>
      <c r="P106" s="35">
        <f>IFERROR(_xll.KeyLookup($A$21,P$21,P$22,$A106)/$B$3,"-")</f>
        <v>665.21600000000001</v>
      </c>
    </row>
    <row r="107" spans="1:16" ht="13.5" thickBot="1" x14ac:dyDescent="0.25">
      <c r="A107" s="27" t="s">
        <v>16</v>
      </c>
      <c r="B107" s="22" t="str">
        <f>_xll.KeyName($A$21,A107)</f>
        <v>Equity and Liabilities</v>
      </c>
      <c r="C107" s="37">
        <f>IFERROR(_xll.KeyLookup($A$21,C$21,C$22,$A107)/$B$3,"-")</f>
        <v>780.26900000000001</v>
      </c>
      <c r="D107" s="37">
        <f>IFERROR(_xll.KeyLookup($A$21,D$21,D$22,$A107)/$B$3,"-")</f>
        <v>821.678</v>
      </c>
      <c r="E107" s="37">
        <f>IFERROR(_xll.KeyLookup($A$21,E$21,E$22,$A107)/$B$3,"-")</f>
        <v>794.68299999999999</v>
      </c>
      <c r="F107" s="37">
        <f>IFERROR(_xll.KeyLookup($A$21,F$21,F$22,$A107)/$B$3,"-")</f>
        <v>762.89499999999998</v>
      </c>
      <c r="G107" s="37">
        <f>IFERROR(_xll.KeyLookup($A$21,G$21,G$22,$A107)/$B$3,"-")</f>
        <v>834.91</v>
      </c>
      <c r="H107" s="37">
        <f>IFERROR(_xll.KeyLookup($A$21,H$21,H$22,$A107)/$B$3,"-")</f>
        <v>901.30799999999999</v>
      </c>
      <c r="I107" s="37">
        <f>IFERROR(_xll.KeyLookup($A$21,I$21,I$22,$A107)/$B$3,"-")</f>
        <v>877.49</v>
      </c>
      <c r="J107" s="37">
        <f>IFERROR(_xll.KeyLookup($A$21,J$21,J$22,$A107)/$B$3,"-")</f>
        <v>832.875</v>
      </c>
      <c r="K107" s="37">
        <f>IFERROR(_xll.KeyLookup($A$21,K$21,K$22,$A107)/$B$3,"-")</f>
        <v>927.29100000000005</v>
      </c>
      <c r="L107" s="37">
        <f>IFERROR(_xll.KeyLookup($A$21,L$21,L$22,$A107)/$B$3,"-")</f>
        <v>947.59</v>
      </c>
      <c r="M107" s="37">
        <f>IFERROR(_xll.KeyLookup($A$21,M$21,M$22,$A107)/$B$3,"-")</f>
        <v>877.23299999999995</v>
      </c>
      <c r="N107" s="37">
        <f>IFERROR(_xll.KeyLookup($A$21,N$21,N$22,$A107)/$B$3,"-")</f>
        <v>849.22</v>
      </c>
      <c r="O107" s="37">
        <f>IFERROR(_xll.KeyLookup($A$21,O$21,O$22,$A107)/$B$3,"-")</f>
        <v>992.96299999999997</v>
      </c>
      <c r="P107" s="37">
        <f>IFERROR(_xll.KeyLookup($A$21,P$21,P$22,$A107)/$B$3,"-")</f>
        <v>1038.402</v>
      </c>
    </row>
    <row r="108" spans="1:16" x14ac:dyDescent="0.2">
      <c r="B108" s="9" t="s">
        <v>19</v>
      </c>
      <c r="C108" s="38">
        <f t="shared" ref="C108:F108" si="34">C107-C91</f>
        <v>0</v>
      </c>
      <c r="D108" s="38">
        <f t="shared" si="34"/>
        <v>0</v>
      </c>
      <c r="E108" s="38">
        <f t="shared" si="34"/>
        <v>0</v>
      </c>
      <c r="F108" s="38">
        <f t="shared" si="34"/>
        <v>0</v>
      </c>
      <c r="G108" s="38">
        <f t="shared" ref="G108:N108" si="35">G107-G91</f>
        <v>0</v>
      </c>
      <c r="H108" s="38">
        <f t="shared" si="35"/>
        <v>0</v>
      </c>
      <c r="I108" s="38">
        <f t="shared" si="35"/>
        <v>0</v>
      </c>
      <c r="J108" s="38">
        <f t="shared" si="35"/>
        <v>0</v>
      </c>
      <c r="K108" s="38">
        <f t="shared" si="35"/>
        <v>0</v>
      </c>
      <c r="L108" s="38">
        <f t="shared" si="35"/>
        <v>0</v>
      </c>
      <c r="M108" s="38">
        <f t="shared" si="35"/>
        <v>0</v>
      </c>
      <c r="N108" s="38">
        <f t="shared" si="35"/>
        <v>0</v>
      </c>
      <c r="O108" s="38">
        <f>IFERROR(O107-O91,"-")</f>
        <v>0</v>
      </c>
      <c r="P108" s="38"/>
    </row>
    <row r="110" spans="1:16" x14ac:dyDescent="0.2">
      <c r="A110" s="8"/>
      <c r="C110" s="3">
        <v>2012</v>
      </c>
      <c r="D110" s="3">
        <v>2012</v>
      </c>
      <c r="E110" s="3">
        <v>2012</v>
      </c>
      <c r="F110" s="3">
        <v>2012</v>
      </c>
      <c r="G110" s="3">
        <v>2013</v>
      </c>
      <c r="H110" s="3">
        <v>2013</v>
      </c>
      <c r="I110" s="3">
        <v>2013</v>
      </c>
      <c r="J110" s="3">
        <v>2013</v>
      </c>
      <c r="K110" s="3">
        <v>2014</v>
      </c>
      <c r="L110" s="3">
        <v>2014</v>
      </c>
      <c r="M110" s="3">
        <v>2014</v>
      </c>
      <c r="N110" s="3">
        <v>2014</v>
      </c>
      <c r="O110" s="3">
        <v>2015</v>
      </c>
      <c r="P110" s="3">
        <v>2015</v>
      </c>
    </row>
    <row r="111" spans="1:16" ht="18.75" x14ac:dyDescent="0.3">
      <c r="A111" s="10" t="s">
        <v>20</v>
      </c>
      <c r="B111" s="4"/>
      <c r="C111" s="5" t="s">
        <v>45</v>
      </c>
      <c r="D111" s="5" t="s">
        <v>46</v>
      </c>
      <c r="E111" s="5" t="s">
        <v>47</v>
      </c>
      <c r="F111" s="5" t="s">
        <v>48</v>
      </c>
      <c r="G111" s="5" t="s">
        <v>45</v>
      </c>
      <c r="H111" s="5" t="s">
        <v>46</v>
      </c>
      <c r="I111" s="5" t="s">
        <v>47</v>
      </c>
      <c r="J111" s="5" t="s">
        <v>48</v>
      </c>
      <c r="K111" s="5" t="s">
        <v>45</v>
      </c>
      <c r="L111" s="5" t="s">
        <v>46</v>
      </c>
      <c r="M111" s="5" t="s">
        <v>47</v>
      </c>
      <c r="N111" s="5" t="s">
        <v>48</v>
      </c>
      <c r="O111" s="5" t="s">
        <v>45</v>
      </c>
      <c r="P111" s="5" t="s">
        <v>46</v>
      </c>
    </row>
    <row r="112" spans="1:16" x14ac:dyDescent="0.2">
      <c r="A112" s="26">
        <v>51101</v>
      </c>
      <c r="B112" s="1" t="str">
        <f>_xll.KeyName($A$21,A112)</f>
        <v>Profit (loss) for the year</v>
      </c>
      <c r="C112" s="33">
        <f>IFERROR(_xll.KeyLookup($A$21,C$21,C$22,$A112)/$B$3,"-")</f>
        <v>-13.189</v>
      </c>
      <c r="D112" s="33">
        <f>IFERROR(_xll.KeyLookup($A$21,D$21,D$22,$A112)/$B$3,"-")</f>
        <v>14.319000000000001</v>
      </c>
      <c r="E112" s="33">
        <f>IFERROR(_xll.KeyLookup($A$21,E$21,E$22,$A112)/$B$3,"-")</f>
        <v>51.362000000000002</v>
      </c>
      <c r="F112" s="33">
        <f>IFERROR(_xll.KeyLookup($A$21,F$21,F$22,$A112)/$B$3,"-")</f>
        <v>-8.2170000000000005</v>
      </c>
      <c r="G112" s="33">
        <f>IFERROR(_xll.KeyLookup($A$21,G$21,G$22,$A112)/$B$3,"-")</f>
        <v>-18.289000000000001</v>
      </c>
      <c r="H112" s="33">
        <f>IFERROR(_xll.KeyLookup($A$21,H$21,H$22,$A112)/$B$3,"-")</f>
        <v>18.489999999999998</v>
      </c>
      <c r="I112" s="33">
        <f>IFERROR(_xll.KeyLookup($A$21,I$21,I$22,$A112)/$B$3,"-")</f>
        <v>65.325000000000003</v>
      </c>
      <c r="J112" s="33">
        <f>IFERROR(_xll.KeyLookup($A$21,J$21,J$22,$A112)/$B$3,"-")</f>
        <v>-9.1080000000000005</v>
      </c>
      <c r="K112" s="33">
        <f>IFERROR(_xll.KeyLookup($A$21,K$21,K$22,$A112)/$B$3,"-")</f>
        <v>-26.721</v>
      </c>
      <c r="L112" s="33">
        <f>IFERROR(_xll.KeyLookup($A$21,L$21,L$22,$A112)/$B$3,"-")</f>
        <v>22.393000000000001</v>
      </c>
      <c r="M112" s="33">
        <f>IFERROR(_xll.KeyLookup($A$21,M$21,M$22,$A112)/$B$3,"-")</f>
        <v>85.801000000000002</v>
      </c>
      <c r="N112" s="33">
        <f>IFERROR(_xll.KeyLookup($A$21,N$21,N$22,$A112)/$B$3,"-")</f>
        <v>-14.974</v>
      </c>
      <c r="O112" s="33">
        <f>IFERROR(_xll.KeyLookup($A$21,O$21,O$22,$A112)/$B$3,"-")</f>
        <v>-14.552</v>
      </c>
      <c r="P112" s="33">
        <f>IFERROR(_xll.KeyLookup($A$21,P$21,P$22,$A112)/$B$3,"-")</f>
        <v>22.364999999999998</v>
      </c>
    </row>
    <row r="113" spans="1:16" x14ac:dyDescent="0.2">
      <c r="A113" s="26">
        <v>51201</v>
      </c>
      <c r="B113" s="1" t="str">
        <f>_xll.KeyName($A$21,A113)</f>
        <v>Depreciation and amortisation</v>
      </c>
      <c r="C113" s="33">
        <f>IFERROR(_xll.KeyLookup($A$21,C$21,C$22,$A113)/$B$3,"-")</f>
        <v>13.675000000000001</v>
      </c>
      <c r="D113" s="33">
        <f>IFERROR(_xll.KeyLookup($A$21,D$21,D$22,$A113)/$B$3,"-")</f>
        <v>14.304</v>
      </c>
      <c r="E113" s="33">
        <f>IFERROR(_xll.KeyLookup($A$21,E$21,E$22,$A113)/$B$3,"-")</f>
        <v>16.792000000000002</v>
      </c>
      <c r="F113" s="33">
        <f>IFERROR(_xll.KeyLookup($A$21,F$21,F$22,$A113)/$B$3,"-")</f>
        <v>14.087999999999999</v>
      </c>
      <c r="G113" s="33">
        <f>IFERROR(_xll.KeyLookup($A$21,G$21,G$22,$A113)/$B$3,"-")</f>
        <v>14.683999999999999</v>
      </c>
      <c r="H113" s="33">
        <f>IFERROR(_xll.KeyLookup($A$21,H$21,H$22,$A113)/$B$3,"-")</f>
        <v>18.167000000000002</v>
      </c>
      <c r="I113" s="33">
        <f>IFERROR(_xll.KeyLookup($A$21,I$21,I$22,$A113)/$B$3,"-")</f>
        <v>20.073</v>
      </c>
      <c r="J113" s="33">
        <f>IFERROR(_xll.KeyLookup($A$21,J$21,J$22,$A113)/$B$3,"-")</f>
        <v>17.774999999999999</v>
      </c>
      <c r="K113" s="33">
        <f>IFERROR(_xll.KeyLookup($A$21,K$21,K$22,$A113)/$B$3,"-")</f>
        <v>17.295999999999999</v>
      </c>
      <c r="L113" s="33">
        <f>IFERROR(_xll.KeyLookup($A$21,L$21,L$22,$A113)/$B$3,"-")</f>
        <v>19.39</v>
      </c>
      <c r="M113" s="33">
        <f>IFERROR(_xll.KeyLookup($A$21,M$21,M$22,$A113)/$B$3,"-")</f>
        <v>21.367999999999999</v>
      </c>
      <c r="N113" s="33">
        <f>IFERROR(_xll.KeyLookup($A$21,N$21,N$22,$A113)/$B$3,"-")</f>
        <v>17.274999999999999</v>
      </c>
      <c r="O113" s="33">
        <f>IFERROR(_xll.KeyLookup($A$21,O$21,O$22,$A113)/$B$3,"-")</f>
        <v>17.010999999999999</v>
      </c>
      <c r="P113" s="33">
        <f>IFERROR(_xll.KeyLookup($A$21,P$21,P$22,$A113)/$B$3,"-")</f>
        <v>21.872</v>
      </c>
    </row>
    <row r="114" spans="1:16" x14ac:dyDescent="0.2">
      <c r="A114" s="26">
        <v>51241</v>
      </c>
      <c r="B114" s="1" t="str">
        <f>_xll.KeyName($A$21,A114)</f>
        <v>Other operating items</v>
      </c>
      <c r="C114" s="33">
        <f>IFERROR(_xll.KeyLookup($A$21,C$21,C$22,$A114)/$B$3,"-")</f>
        <v>1.9710000000000001</v>
      </c>
      <c r="D114" s="33">
        <f>IFERROR(_xll.KeyLookup($A$21,D$21,D$22,$A114)/$B$3,"-")</f>
        <v>9.8059999999999992</v>
      </c>
      <c r="E114" s="33">
        <f>IFERROR(_xll.KeyLookup($A$21,E$21,E$22,$A114)/$B$3,"-")</f>
        <v>21.617000000000001</v>
      </c>
      <c r="F114" s="33">
        <f>IFERROR(_xll.KeyLookup($A$21,F$21,F$22,$A114)/$B$3,"-")</f>
        <v>4.9619999999999997</v>
      </c>
      <c r="G114" s="33">
        <f>IFERROR(_xll.KeyLookup($A$21,G$21,G$22,$A114)/$B$3,"-")</f>
        <v>2.1240000000000001</v>
      </c>
      <c r="H114" s="33">
        <f>IFERROR(_xll.KeyLookup($A$21,H$21,H$22,$A114)/$B$3,"-")</f>
        <v>11.497</v>
      </c>
      <c r="I114" s="33">
        <f>IFERROR(_xll.KeyLookup($A$21,I$21,I$22,$A114)/$B$3,"-")</f>
        <v>25.74</v>
      </c>
      <c r="J114" s="33">
        <f>IFERROR(_xll.KeyLookup($A$21,J$21,J$22,$A114)/$B$3,"-")</f>
        <v>-4.093</v>
      </c>
      <c r="K114" s="33">
        <f>IFERROR(_xll.KeyLookup($A$21,K$21,K$22,$A114)/$B$3,"-")</f>
        <v>-3.1240000000000001</v>
      </c>
      <c r="L114" s="33">
        <f>IFERROR(_xll.KeyLookup($A$21,L$21,L$22,$A114)/$B$3,"-")</f>
        <v>8.4870000000000001</v>
      </c>
      <c r="M114" s="33">
        <f>IFERROR(_xll.KeyLookup($A$21,M$21,M$22,$A114)/$B$3,"-")</f>
        <v>28.042000000000002</v>
      </c>
      <c r="N114" s="33">
        <f>IFERROR(_xll.KeyLookup($A$21,N$21,N$22,$A114)/$B$3,"-")</f>
        <v>-12.426</v>
      </c>
      <c r="O114" s="33">
        <f>IFERROR(_xll.KeyLookup($A$21,O$21,O$22,$A114)/$B$3,"-")</f>
        <v>-1.2949999999999999</v>
      </c>
      <c r="P114" s="33">
        <f>IFERROR(_xll.KeyLookup($A$21,P$21,P$22,$A114)/$B$3,"-")</f>
        <v>5.3739999999999997</v>
      </c>
    </row>
    <row r="115" spans="1:16" x14ac:dyDescent="0.2">
      <c r="A115" s="20" t="s">
        <v>21</v>
      </c>
      <c r="B115" s="21" t="str">
        <f>_xll.KeyName($A$21,A115)</f>
        <v>Working Capital from Operating Activities</v>
      </c>
      <c r="C115" s="35">
        <f>IFERROR(_xll.KeyLookup($A$21,C$21,C$22,$A115)/$B$3,"-")</f>
        <v>2.4569999999999999</v>
      </c>
      <c r="D115" s="35">
        <f>IFERROR(_xll.KeyLookup($A$21,D$21,D$22,$A115)/$B$3,"-")</f>
        <v>38.429000000000002</v>
      </c>
      <c r="E115" s="35">
        <f>IFERROR(_xll.KeyLookup($A$21,E$21,E$22,$A115)/$B$3,"-")</f>
        <v>89.771000000000001</v>
      </c>
      <c r="F115" s="35">
        <f>IFERROR(_xll.KeyLookup($A$21,F$21,F$22,$A115)/$B$3,"-")</f>
        <v>10.833</v>
      </c>
      <c r="G115" s="35">
        <f>IFERROR(_xll.KeyLookup($A$21,G$21,G$22,$A115)/$B$3,"-")</f>
        <v>-1.4810000000000001</v>
      </c>
      <c r="H115" s="35">
        <f>IFERROR(_xll.KeyLookup($A$21,H$21,H$22,$A115)/$B$3,"-")</f>
        <v>48.154000000000003</v>
      </c>
      <c r="I115" s="35">
        <f>IFERROR(_xll.KeyLookup($A$21,I$21,I$22,$A115)/$B$3,"-")</f>
        <v>111.13800000000001</v>
      </c>
      <c r="J115" s="35">
        <f>IFERROR(_xll.KeyLookup($A$21,J$21,J$22,$A115)/$B$3,"-")</f>
        <v>4.5739999999999998</v>
      </c>
      <c r="K115" s="35">
        <f>IFERROR(_xll.KeyLookup($A$21,K$21,K$22,$A115)/$B$3,"-")</f>
        <v>-12.548999999999999</v>
      </c>
      <c r="L115" s="35">
        <f>IFERROR(_xll.KeyLookup($A$21,L$21,L$22,$A115)/$B$3,"-")</f>
        <v>50.27</v>
      </c>
      <c r="M115" s="35">
        <f>IFERROR(_xll.KeyLookup($A$21,M$21,M$22,$A115)/$B$3,"-")</f>
        <v>135.21100000000001</v>
      </c>
      <c r="N115" s="35">
        <f>IFERROR(_xll.KeyLookup($A$21,N$21,N$22,$A115)/$B$3,"-")</f>
        <v>-10.125</v>
      </c>
      <c r="O115" s="35">
        <f>IFERROR(_xll.KeyLookup($A$21,O$21,O$22,$A115)/$B$3,"-")</f>
        <v>1.1639999999999999</v>
      </c>
      <c r="P115" s="35">
        <f>IFERROR(_xll.KeyLookup($A$21,P$21,P$22,$A115)/$B$3,"-")</f>
        <v>49.610999999999997</v>
      </c>
    </row>
    <row r="116" spans="1:16" x14ac:dyDescent="0.2">
      <c r="A116" s="26">
        <v>51301</v>
      </c>
      <c r="B116" s="1" t="str">
        <f>_xll.KeyName($A$21,A116)</f>
        <v>Net change in operating assets and liabilities</v>
      </c>
      <c r="C116" s="33">
        <f>IFERROR(_xll.KeyLookup($A$21,C$21,C$22,$A116)/$B$3,"-")</f>
        <v>83.680999999999997</v>
      </c>
      <c r="D116" s="33">
        <f>IFERROR(_xll.KeyLookup($A$21,D$21,D$22,$A116)/$B$3,"-")</f>
        <v>33.784999999999997</v>
      </c>
      <c r="E116" s="33">
        <f>IFERROR(_xll.KeyLookup($A$21,E$21,E$22,$A116)/$B$3,"-")</f>
        <v>-79.665000000000006</v>
      </c>
      <c r="F116" s="33">
        <f>IFERROR(_xll.KeyLookup($A$21,F$21,F$22,$A116)/$B$3,"-")</f>
        <v>-12.548</v>
      </c>
      <c r="G116" s="33">
        <f>IFERROR(_xll.KeyLookup($A$21,G$21,G$22,$A116)/$B$3,"-")</f>
        <v>79.933999999999997</v>
      </c>
      <c r="H116" s="33">
        <f>IFERROR(_xll.KeyLookup($A$21,H$21,H$22,$A116)/$B$3,"-")</f>
        <v>58.281999999999996</v>
      </c>
      <c r="I116" s="33">
        <f>IFERROR(_xll.KeyLookup($A$21,I$21,I$22,$A116)/$B$3,"-")</f>
        <v>-80.866</v>
      </c>
      <c r="J116" s="33">
        <f>IFERROR(_xll.KeyLookup($A$21,J$21,J$22,$A116)/$B$3,"-")</f>
        <v>11.138999999999999</v>
      </c>
      <c r="K116" s="33">
        <f>IFERROR(_xll.KeyLookup($A$21,K$21,K$22,$A116)/$B$3,"-")</f>
        <v>133.91999999999999</v>
      </c>
      <c r="L116" s="33">
        <f>IFERROR(_xll.KeyLookup($A$21,L$21,L$22,$A116)/$B$3,"-")</f>
        <v>33.354999999999997</v>
      </c>
      <c r="M116" s="33">
        <f>IFERROR(_xll.KeyLookup($A$21,M$21,M$22,$A116)/$B$3,"-")</f>
        <v>-129.44399999999999</v>
      </c>
      <c r="N116" s="33">
        <f>IFERROR(_xll.KeyLookup($A$21,N$21,N$22,$A116)/$B$3,"-")</f>
        <v>14.677</v>
      </c>
      <c r="O116" s="33">
        <f>IFERROR(_xll.KeyLookup($A$21,O$21,O$22,$A116)/$B$3,"-")</f>
        <v>116.523</v>
      </c>
      <c r="P116" s="33">
        <f>IFERROR(_xll.KeyLookup($A$21,P$21,P$22,$A116)/$B$3,"-")</f>
        <v>37.113</v>
      </c>
    </row>
    <row r="117" spans="1:16" x14ac:dyDescent="0.2">
      <c r="A117" s="20" t="s">
        <v>22</v>
      </c>
      <c r="B117" s="21" t="str">
        <f>_xll.KeyName($A$21,A117)</f>
        <v>Cash from Operations Before Interest and Taxes</v>
      </c>
      <c r="C117" s="35">
        <f>IFERROR(_xll.KeyLookup($A$21,C$21,C$22,$A117)/$B$3,"-")</f>
        <v>86.138000000000005</v>
      </c>
      <c r="D117" s="35">
        <f>IFERROR(_xll.KeyLookup($A$21,D$21,D$22,$A117)/$B$3,"-")</f>
        <v>72.213999999999999</v>
      </c>
      <c r="E117" s="35">
        <f>IFERROR(_xll.KeyLookup($A$21,E$21,E$22,$A117)/$B$3,"-")</f>
        <v>10.106</v>
      </c>
      <c r="F117" s="35">
        <f>IFERROR(_xll.KeyLookup($A$21,F$21,F$22,$A117)/$B$3,"-")</f>
        <v>-1.7150000000000001</v>
      </c>
      <c r="G117" s="35">
        <f>IFERROR(_xll.KeyLookup($A$21,G$21,G$22,$A117)/$B$3,"-")</f>
        <v>78.453000000000003</v>
      </c>
      <c r="H117" s="35">
        <f>IFERROR(_xll.KeyLookup($A$21,H$21,H$22,$A117)/$B$3,"-")</f>
        <v>106.43600000000001</v>
      </c>
      <c r="I117" s="35">
        <f>IFERROR(_xll.KeyLookup($A$21,I$21,I$22,$A117)/$B$3,"-")</f>
        <v>30.271999999999998</v>
      </c>
      <c r="J117" s="35">
        <f>IFERROR(_xll.KeyLookup($A$21,J$21,J$22,$A117)/$B$3,"-")</f>
        <v>15.712999999999999</v>
      </c>
      <c r="K117" s="35">
        <f>IFERROR(_xll.KeyLookup($A$21,K$21,K$22,$A117)/$B$3,"-")</f>
        <v>121.371</v>
      </c>
      <c r="L117" s="35">
        <f>IFERROR(_xll.KeyLookup($A$21,L$21,L$22,$A117)/$B$3,"-")</f>
        <v>83.625</v>
      </c>
      <c r="M117" s="35">
        <f>IFERROR(_xll.KeyLookup($A$21,M$21,M$22,$A117)/$B$3,"-")</f>
        <v>5.7670000000000003</v>
      </c>
      <c r="N117" s="35">
        <f>IFERROR(_xll.KeyLookup($A$21,N$21,N$22,$A117)/$B$3,"-")</f>
        <v>4.5519999999999996</v>
      </c>
      <c r="O117" s="35">
        <f>IFERROR(_xll.KeyLookup($A$21,O$21,O$22,$A117)/$B$3,"-")</f>
        <v>117.687</v>
      </c>
      <c r="P117" s="35">
        <f>IFERROR(_xll.KeyLookup($A$21,P$21,P$22,$A117)/$B$3,"-")</f>
        <v>86.724000000000004</v>
      </c>
    </row>
    <row r="118" spans="1:16" x14ac:dyDescent="0.2">
      <c r="A118" s="26">
        <v>52102</v>
      </c>
      <c r="B118" s="1" t="str">
        <f>_xll.KeyName($A$21,A118)</f>
        <v>Acquisition of operating assets</v>
      </c>
      <c r="C118" s="33">
        <f>IFERROR(_xll.KeyLookup($A$21,C$21,C$22,$A118)/$B$3,"-")</f>
        <v>-21.012</v>
      </c>
      <c r="D118" s="33">
        <f>IFERROR(_xll.KeyLookup($A$21,D$21,D$22,$A118)/$B$3,"-")</f>
        <v>-16.681000000000001</v>
      </c>
      <c r="E118" s="33">
        <f>IFERROR(_xll.KeyLookup($A$21,E$21,E$22,$A118)/$B$3,"-")</f>
        <v>-6.5650000000000004</v>
      </c>
      <c r="F118" s="33">
        <f>IFERROR(_xll.KeyLookup($A$21,F$21,F$22,$A118)/$B$3,"-")</f>
        <v>-18.271000000000001</v>
      </c>
      <c r="G118" s="33">
        <f>IFERROR(_xll.KeyLookup($A$21,G$21,G$22,$A118)/$B$3,"-")</f>
        <v>-41.030999999999999</v>
      </c>
      <c r="H118" s="33">
        <f>IFERROR(_xll.KeyLookup($A$21,H$21,H$22,$A118)/$B$3,"-")</f>
        <v>-23.885999999999999</v>
      </c>
      <c r="I118" s="33">
        <f>IFERROR(_xll.KeyLookup($A$21,I$21,I$22,$A118)/$B$3,"-")</f>
        <v>-10.228</v>
      </c>
      <c r="J118" s="33">
        <f>IFERROR(_xll.KeyLookup($A$21,J$21,J$22,$A118)/$B$3,"-")</f>
        <v>-11.771000000000001</v>
      </c>
      <c r="K118" s="33">
        <f>IFERROR(_xll.KeyLookup($A$21,K$21,K$22,$A118)/$B$3,"-")</f>
        <v>-27.413</v>
      </c>
      <c r="L118" s="33">
        <f>IFERROR(_xll.KeyLookup($A$21,L$21,L$22,$A118)/$B$3,"-")</f>
        <v>-11.228</v>
      </c>
      <c r="M118" s="33">
        <f>IFERROR(_xll.KeyLookup($A$21,M$21,M$22,$A118)/$B$3,"-")</f>
        <v>-17.588999999999999</v>
      </c>
      <c r="N118" s="33">
        <f>IFERROR(_xll.KeyLookup($A$21,N$21,N$22,$A118)/$B$3,"-")</f>
        <v>-31.663</v>
      </c>
      <c r="O118" s="33">
        <f>IFERROR(_xll.KeyLookup($A$21,O$21,O$22,$A118)/$B$3,"-")</f>
        <v>-25.879000000000001</v>
      </c>
      <c r="P118" s="33">
        <f>IFERROR(_xll.KeyLookup($A$21,P$21,P$22,$A118)/$B$3,"-")</f>
        <v>-29.988</v>
      </c>
    </row>
    <row r="119" spans="1:16" x14ac:dyDescent="0.2">
      <c r="A119" s="26">
        <v>52105</v>
      </c>
      <c r="B119" s="1" t="str">
        <f>_xll.KeyName($A$21,A119)</f>
        <v>Capitalization of long term cost</v>
      </c>
      <c r="C119" s="33">
        <f>IFERROR(_xll.KeyLookup($A$21,C$21,C$22,$A119)/$B$3,"-")</f>
        <v>-1.8680000000000001</v>
      </c>
      <c r="D119" s="33">
        <f>IFERROR(_xll.KeyLookup($A$21,D$21,D$22,$A119)/$B$3,"-")</f>
        <v>-3.7250000000000001</v>
      </c>
      <c r="E119" s="33">
        <f>IFERROR(_xll.KeyLookup($A$21,E$21,E$22,$A119)/$B$3,"-")</f>
        <v>-15.666</v>
      </c>
      <c r="F119" s="33">
        <f>IFERROR(_xll.KeyLookup($A$21,F$21,F$22,$A119)/$B$3,"-")</f>
        <v>-5.5890000000000004</v>
      </c>
      <c r="G119" s="33">
        <f>IFERROR(_xll.KeyLookup($A$21,G$21,G$22,$A119)/$B$3,"-")</f>
        <v>-1.542</v>
      </c>
      <c r="H119" s="33">
        <f>IFERROR(_xll.KeyLookup($A$21,H$21,H$22,$A119)/$B$3,"-")</f>
        <v>-2.4580000000000002</v>
      </c>
      <c r="I119" s="33">
        <f>IFERROR(_xll.KeyLookup($A$21,I$21,I$22,$A119)/$B$3,"-")</f>
        <v>-12.651999999999999</v>
      </c>
      <c r="J119" s="33">
        <f>IFERROR(_xll.KeyLookup($A$21,J$21,J$22,$A119)/$B$3,"-")</f>
        <v>-7.1970000000000001</v>
      </c>
      <c r="K119" s="33">
        <f>IFERROR(_xll.KeyLookup($A$21,K$21,K$22,$A119)/$B$3,"-")</f>
        <v>-2.9950000000000001</v>
      </c>
      <c r="L119" s="33">
        <f>IFERROR(_xll.KeyLookup($A$21,L$21,L$22,$A119)/$B$3,"-")</f>
        <v>1.1499999999999999</v>
      </c>
      <c r="M119" s="33">
        <f>IFERROR(_xll.KeyLookup($A$21,M$21,M$22,$A119)/$B$3,"-")</f>
        <v>-10.313000000000001</v>
      </c>
      <c r="N119" s="33">
        <f>IFERROR(_xll.KeyLookup($A$21,N$21,N$22,$A119)/$B$3,"-")</f>
        <v>-7.0019999999999998</v>
      </c>
      <c r="O119" s="33">
        <f>IFERROR(_xll.KeyLookup($A$21,O$21,O$22,$A119)/$B$3,"-")</f>
        <v>-0.21099999999999999</v>
      </c>
      <c r="P119" s="33">
        <f>IFERROR(_xll.KeyLookup($A$21,P$21,P$22,$A119)/$B$3,"-")</f>
        <v>-6.2560000000000002</v>
      </c>
    </row>
    <row r="120" spans="1:16" x14ac:dyDescent="0.2">
      <c r="A120" s="26">
        <v>52115</v>
      </c>
      <c r="B120" s="1" t="str">
        <f>_xll.KeyName($A$21,A120)</f>
        <v>Proceeds from the sale of operating assets</v>
      </c>
      <c r="C120" s="33">
        <f>IFERROR(_xll.KeyLookup($A$21,C$21,C$22,$A120)/$B$3,"-")</f>
        <v>0.113</v>
      </c>
      <c r="D120" s="33">
        <f>IFERROR(_xll.KeyLookup($A$21,D$21,D$22,$A120)/$B$3,"-")</f>
        <v>5.7539999999999996</v>
      </c>
      <c r="E120" s="33">
        <f>IFERROR(_xll.KeyLookup($A$21,E$21,E$22,$A120)/$B$3,"-")</f>
        <v>0.54600000000000004</v>
      </c>
      <c r="F120" s="33">
        <f>IFERROR(_xll.KeyLookup($A$21,F$21,F$22,$A120)/$B$3,"-")</f>
        <v>0.40899999999999997</v>
      </c>
      <c r="G120" s="33">
        <f>IFERROR(_xll.KeyLookup($A$21,G$21,G$22,$A120)/$B$3,"-")</f>
        <v>0.17499999999999999</v>
      </c>
      <c r="H120" s="33">
        <f>IFERROR(_xll.KeyLookup($A$21,H$21,H$22,$A120)/$B$3,"-")</f>
        <v>8.4000000000000005E-2</v>
      </c>
      <c r="I120" s="33">
        <f>IFERROR(_xll.KeyLookup($A$21,I$21,I$22,$A120)/$B$3,"-")</f>
        <v>0.52100000000000002</v>
      </c>
      <c r="J120" s="33">
        <f>IFERROR(_xll.KeyLookup($A$21,J$21,J$22,$A120)/$B$3,"-")</f>
        <v>0.81399999999999995</v>
      </c>
      <c r="K120" s="33">
        <f>IFERROR(_xll.KeyLookup($A$21,K$21,K$22,$A120)/$B$3,"-")</f>
        <v>0.23200000000000001</v>
      </c>
      <c r="L120" s="33">
        <f>IFERROR(_xll.KeyLookup($A$21,L$21,L$22,$A120)/$B$3,"-")</f>
        <v>0.161</v>
      </c>
      <c r="M120" s="33">
        <f>IFERROR(_xll.KeyLookup($A$21,M$21,M$22,$A120)/$B$3,"-")</f>
        <v>0.28399999999999997</v>
      </c>
      <c r="N120" s="33">
        <f>IFERROR(_xll.KeyLookup($A$21,N$21,N$22,$A120)/$B$3,"-")</f>
        <v>0.93700000000000006</v>
      </c>
      <c r="O120" s="33">
        <f>IFERROR(_xll.KeyLookup($A$21,O$21,O$22,$A120)/$B$3,"-")</f>
        <v>0.123</v>
      </c>
      <c r="P120" s="33">
        <f>IFERROR(_xll.KeyLookup($A$21,P$21,P$22,$A120)/$B$3,"-")</f>
        <v>0.182</v>
      </c>
    </row>
    <row r="121" spans="1:16" x14ac:dyDescent="0.2">
      <c r="A121" s="26">
        <v>52131</v>
      </c>
      <c r="B121" s="1" t="str">
        <f>_xll.KeyName($A$21,A121)</f>
        <v>Acquisition of intangible assets</v>
      </c>
      <c r="C121" s="33">
        <f>IFERROR(_xll.KeyLookup($A$21,C$21,C$22,$A121)/$B$3,"-")</f>
        <v>-9.8000000000000004E-2</v>
      </c>
      <c r="D121" s="33">
        <f>IFERROR(_xll.KeyLookup($A$21,D$21,D$22,$A121)/$B$3,"-")</f>
        <v>-0.29099999999999998</v>
      </c>
      <c r="E121" s="33">
        <f>IFERROR(_xll.KeyLookup($A$21,E$21,E$22,$A121)/$B$3,"-")</f>
        <v>-0.70799999999999996</v>
      </c>
      <c r="F121" s="33">
        <f>IFERROR(_xll.KeyLookup($A$21,F$21,F$22,$A121)/$B$3,"-")</f>
        <v>-1.4</v>
      </c>
      <c r="G121" s="33">
        <f>IFERROR(_xll.KeyLookup($A$21,G$21,G$22,$A121)/$B$3,"-")</f>
        <v>-0.52900000000000003</v>
      </c>
      <c r="H121" s="33">
        <f>IFERROR(_xll.KeyLookup($A$21,H$21,H$22,$A121)/$B$3,"-")</f>
        <v>-0.88500000000000001</v>
      </c>
      <c r="I121" s="33">
        <f>IFERROR(_xll.KeyLookup($A$21,I$21,I$22,$A121)/$B$3,"-")</f>
        <v>-0.496</v>
      </c>
      <c r="J121" s="33">
        <f>IFERROR(_xll.KeyLookup($A$21,J$21,J$22,$A121)/$B$3,"-")</f>
        <v>-1.5649999999999999</v>
      </c>
      <c r="K121" s="33">
        <f>IFERROR(_xll.KeyLookup($A$21,K$21,K$22,$A121)/$B$3,"-")</f>
        <v>-0.53</v>
      </c>
      <c r="L121" s="33">
        <f>IFERROR(_xll.KeyLookup($A$21,L$21,L$22,$A121)/$B$3,"-")</f>
        <v>-0.58499999999999996</v>
      </c>
      <c r="M121" s="33">
        <f>IFERROR(_xll.KeyLookup($A$21,M$21,M$22,$A121)/$B$3,"-")</f>
        <v>-0.373</v>
      </c>
      <c r="N121" s="33">
        <f>IFERROR(_xll.KeyLookup($A$21,N$21,N$22,$A121)/$B$3,"-")</f>
        <v>-0.752</v>
      </c>
      <c r="O121" s="33">
        <f>IFERROR(_xll.KeyLookup($A$21,O$21,O$22,$A121)/$B$3,"-")</f>
        <v>-0.25700000000000001</v>
      </c>
      <c r="P121" s="33">
        <f>IFERROR(_xll.KeyLookup($A$21,P$21,P$22,$A121)/$B$3,"-")</f>
        <v>-0.48199999999999998</v>
      </c>
    </row>
    <row r="122" spans="1:16" ht="13.5" thickBot="1" x14ac:dyDescent="0.25">
      <c r="A122" s="6" t="s">
        <v>23</v>
      </c>
      <c r="B122" s="7" t="str">
        <f>_xll.KeyName($A$21,A122)</f>
        <v>Net Cash from Operating Activities</v>
      </c>
      <c r="C122" s="36">
        <f>IFERROR(_xll.KeyLookup($A$21,C$21,C$22,$A122)/$B$3,"-")</f>
        <v>86.138000000000005</v>
      </c>
      <c r="D122" s="36">
        <f>IFERROR(_xll.KeyLookup($A$21,D$21,D$22,$A122)/$B$3,"-")</f>
        <v>72.213999999999999</v>
      </c>
      <c r="E122" s="36">
        <f>IFERROR(_xll.KeyLookup($A$21,E$21,E$22,$A122)/$B$3,"-")</f>
        <v>10.106</v>
      </c>
      <c r="F122" s="36">
        <f>IFERROR(_xll.KeyLookup($A$21,F$21,F$22,$A122)/$B$3,"-")</f>
        <v>-1.7150000000000001</v>
      </c>
      <c r="G122" s="36">
        <f>IFERROR(_xll.KeyLookup($A$21,G$21,G$22,$A122)/$B$3,"-")</f>
        <v>78.453000000000003</v>
      </c>
      <c r="H122" s="36">
        <f>IFERROR(_xll.KeyLookup($A$21,H$21,H$22,$A122)/$B$3,"-")</f>
        <v>106.43600000000001</v>
      </c>
      <c r="I122" s="36">
        <f>IFERROR(_xll.KeyLookup($A$21,I$21,I$22,$A122)/$B$3,"-")</f>
        <v>30.271999999999998</v>
      </c>
      <c r="J122" s="36">
        <f>IFERROR(_xll.KeyLookup($A$21,J$21,J$22,$A122)/$B$3,"-")</f>
        <v>15.712999999999999</v>
      </c>
      <c r="K122" s="36">
        <f>IFERROR(_xll.KeyLookup($A$21,K$21,K$22,$A122)/$B$3,"-")</f>
        <v>121.371</v>
      </c>
      <c r="L122" s="36">
        <f>IFERROR(_xll.KeyLookup($A$21,L$21,L$22,$A122)/$B$3,"-")</f>
        <v>83.625</v>
      </c>
      <c r="M122" s="36">
        <f>IFERROR(_xll.KeyLookup($A$21,M$21,M$22,$A122)/$B$3,"-")</f>
        <v>5.7670000000000003</v>
      </c>
      <c r="N122" s="36">
        <f>IFERROR(_xll.KeyLookup($A$21,N$21,N$22,$A122)/$B$3,"-")</f>
        <v>4.5519999999999996</v>
      </c>
      <c r="O122" s="36">
        <f>IFERROR(_xll.KeyLookup($A$21,O$21,O$22,$A122)/$B$3,"-")</f>
        <v>117.687</v>
      </c>
      <c r="P122" s="36">
        <f>IFERROR(_xll.KeyLookup($A$21,P$21,P$22,$A122)/$B$3,"-")</f>
        <v>86.724000000000004</v>
      </c>
    </row>
    <row r="123" spans="1:16" x14ac:dyDescent="0.2">
      <c r="A123" s="26">
        <v>52212</v>
      </c>
      <c r="B123" s="1" t="str">
        <f>_xll.KeyName($A$21,A123)</f>
        <v>Cash of subsidiaries held for sale, change</v>
      </c>
      <c r="C123" s="33">
        <f>IFERROR(_xll.KeyLookup($A$21,C$21,C$22,$A123)/$B$3,"-")</f>
        <v>0</v>
      </c>
      <c r="D123" s="33">
        <f>IFERROR(_xll.KeyLookup($A$21,D$21,D$22,$A123)/$B$3,"-")</f>
        <v>0</v>
      </c>
      <c r="E123" s="33">
        <f>IFERROR(_xll.KeyLookup($A$21,E$21,E$22,$A123)/$B$3,"-")</f>
        <v>0</v>
      </c>
      <c r="F123" s="33">
        <f>IFERROR(_xll.KeyLookup($A$21,F$21,F$22,$A123)/$B$3,"-")</f>
        <v>0</v>
      </c>
      <c r="G123" s="33">
        <f>IFERROR(_xll.KeyLookup($A$21,G$21,G$22,$A123)/$B$3,"-")</f>
        <v>0</v>
      </c>
      <c r="H123" s="33">
        <f>IFERROR(_xll.KeyLookup($A$21,H$21,H$22,$A123)/$B$3,"-")</f>
        <v>0</v>
      </c>
      <c r="I123" s="33">
        <f>IFERROR(_xll.KeyLookup($A$21,I$21,I$22,$A123)/$B$3,"-")</f>
        <v>0</v>
      </c>
      <c r="J123" s="33">
        <f>IFERROR(_xll.KeyLookup($A$21,J$21,J$22,$A123)/$B$3,"-")</f>
        <v>0</v>
      </c>
      <c r="K123" s="33">
        <f>IFERROR(_xll.KeyLookup($A$21,K$21,K$22,$A123)/$B$3,"-")</f>
        <v>0</v>
      </c>
      <c r="L123" s="33">
        <f>IFERROR(_xll.KeyLookup($A$21,L$21,L$22,$A123)/$B$3,"-")</f>
        <v>0</v>
      </c>
      <c r="M123" s="33">
        <f>IFERROR(_xll.KeyLookup($A$21,M$21,M$22,$A123)/$B$3,"-")</f>
        <v>0</v>
      </c>
      <c r="N123" s="33">
        <f>IFERROR(_xll.KeyLookup($A$21,N$21,N$22,$A123)/$B$3,"-")</f>
        <v>0</v>
      </c>
      <c r="O123" s="33">
        <f>IFERROR(_xll.KeyLookup($A$21,O$21,O$22,$A123)/$B$3,"-")</f>
        <v>0</v>
      </c>
      <c r="P123" s="33">
        <f>IFERROR(_xll.KeyLookup($A$21,P$21,P$22,$A123)/$B$3,"-")</f>
        <v>0</v>
      </c>
    </row>
    <row r="124" spans="1:16" x14ac:dyDescent="0.2">
      <c r="A124" s="26">
        <v>52216</v>
      </c>
      <c r="B124" s="1" t="str">
        <f>_xll.KeyName($A$21,A124)</f>
        <v>Marketable securities</v>
      </c>
      <c r="C124" s="33">
        <f>IFERROR(_xll.KeyLookup($A$21,C$21,C$22,$A124)/$B$3,"-")</f>
        <v>7.6520000000000001</v>
      </c>
      <c r="D124" s="33">
        <f>IFERROR(_xll.KeyLookup($A$21,D$21,D$22,$A124)/$B$3,"-")</f>
        <v>2.194</v>
      </c>
      <c r="E124" s="33">
        <f>IFERROR(_xll.KeyLookup($A$21,E$21,E$22,$A124)/$B$3,"-")</f>
        <v>1.3120000000000001</v>
      </c>
      <c r="F124" s="33">
        <f>IFERROR(_xll.KeyLookup($A$21,F$21,F$22,$A124)/$B$3,"-")</f>
        <v>2.3E-2</v>
      </c>
      <c r="G124" s="33">
        <f>IFERROR(_xll.KeyLookup($A$21,G$21,G$22,$A124)/$B$3,"-")</f>
        <v>3.2429999999999999</v>
      </c>
      <c r="H124" s="33">
        <f>IFERROR(_xll.KeyLookup($A$21,H$21,H$22,$A124)/$B$3,"-")</f>
        <v>10.012</v>
      </c>
      <c r="I124" s="33">
        <f>IFERROR(_xll.KeyLookup($A$21,I$21,I$22,$A124)/$B$3,"-")</f>
        <v>-0.106</v>
      </c>
      <c r="J124" s="33">
        <f>IFERROR(_xll.KeyLookup($A$21,J$21,J$22,$A124)/$B$3,"-")</f>
        <v>-5.1040000000000001</v>
      </c>
      <c r="K124" s="33">
        <f>IFERROR(_xll.KeyLookup($A$21,K$21,K$22,$A124)/$B$3,"-")</f>
        <v>-1.5860000000000001</v>
      </c>
      <c r="L124" s="33">
        <f>IFERROR(_xll.KeyLookup($A$21,L$21,L$22,$A124)/$B$3,"-")</f>
        <v>-6.7530000000000001</v>
      </c>
      <c r="M124" s="33">
        <f>IFERROR(_xll.KeyLookup($A$21,M$21,M$22,$A124)/$B$3,"-")</f>
        <v>-10.824</v>
      </c>
      <c r="N124" s="33">
        <f>IFERROR(_xll.KeyLookup($A$21,N$21,N$22,$A124)/$B$3,"-")</f>
        <v>-3.7570000000000001</v>
      </c>
      <c r="O124" s="33">
        <f>IFERROR(_xll.KeyLookup($A$21,O$21,O$22,$A124)/$B$3,"-")</f>
        <v>-8.4049999999999994</v>
      </c>
      <c r="P124" s="33">
        <f>IFERROR(_xll.KeyLookup($A$21,P$21,P$22,$A124)/$B$3,"-")</f>
        <v>2.9870000000000001</v>
      </c>
    </row>
    <row r="125" spans="1:16" x14ac:dyDescent="0.2">
      <c r="A125" s="26">
        <v>52224</v>
      </c>
      <c r="B125" s="1" t="str">
        <f>_xll.KeyName($A$21,A125)</f>
        <v>Long-term receivables</v>
      </c>
      <c r="C125" s="33">
        <f>IFERROR(_xll.KeyLookup($A$21,C$21,C$22,$A125)/$B$3,"-")</f>
        <v>2.7040000000000002</v>
      </c>
      <c r="D125" s="33">
        <f>IFERROR(_xll.KeyLookup($A$21,D$21,D$22,$A125)/$B$3,"-")</f>
        <v>-4.077</v>
      </c>
      <c r="E125" s="33">
        <f>IFERROR(_xll.KeyLookup($A$21,E$21,E$22,$A125)/$B$3,"-")</f>
        <v>-0.40799999999999997</v>
      </c>
      <c r="F125" s="33">
        <f>IFERROR(_xll.KeyLookup($A$21,F$21,F$22,$A125)/$B$3,"-")</f>
        <v>-0.82399999999999995</v>
      </c>
      <c r="G125" s="33">
        <f>IFERROR(_xll.KeyLookup($A$21,G$21,G$22,$A125)/$B$3,"-")</f>
        <v>-1.111</v>
      </c>
      <c r="H125" s="33">
        <f>IFERROR(_xll.KeyLookup($A$21,H$21,H$22,$A125)/$B$3,"-")</f>
        <v>1.6559999999999999</v>
      </c>
      <c r="I125" s="33">
        <f>IFERROR(_xll.KeyLookup($A$21,I$21,I$22,$A125)/$B$3,"-")</f>
        <v>-1.327</v>
      </c>
      <c r="J125" s="33">
        <f>IFERROR(_xll.KeyLookup($A$21,J$21,J$22,$A125)/$B$3,"-")</f>
        <v>-7.84</v>
      </c>
      <c r="K125" s="33">
        <f>IFERROR(_xll.KeyLookup($A$21,K$21,K$22,$A125)/$B$3,"-")</f>
        <v>-1.6539999999999999</v>
      </c>
      <c r="L125" s="33">
        <f>IFERROR(_xll.KeyLookup($A$21,L$21,L$22,$A125)/$B$3,"-")</f>
        <v>3.246</v>
      </c>
      <c r="M125" s="33">
        <f>IFERROR(_xll.KeyLookup($A$21,M$21,M$22,$A125)/$B$3,"-")</f>
        <v>0.432</v>
      </c>
      <c r="N125" s="33">
        <f>IFERROR(_xll.KeyLookup($A$21,N$21,N$22,$A125)/$B$3,"-")</f>
        <v>-1.581</v>
      </c>
      <c r="O125" s="33">
        <f>IFERROR(_xll.KeyLookup($A$21,O$21,O$22,$A125)/$B$3,"-")</f>
        <v>-2.9820000000000002</v>
      </c>
      <c r="P125" s="33">
        <f>IFERROR(_xll.KeyLookup($A$21,P$21,P$22,$A125)/$B$3,"-")</f>
        <v>-1.002</v>
      </c>
    </row>
    <row r="126" spans="1:16" ht="13.5" thickBot="1" x14ac:dyDescent="0.25">
      <c r="A126" s="6" t="s">
        <v>24</v>
      </c>
      <c r="B126" s="7" t="str">
        <f>_xll.KeyName($A$21,A126)</f>
        <v>Net Cash from Investing Activities</v>
      </c>
      <c r="C126" s="36">
        <f>IFERROR(_xll.KeyLookup($A$21,C$21,C$22,$A126)/$B$3,"-")</f>
        <v>-12.509</v>
      </c>
      <c r="D126" s="36">
        <f>IFERROR(_xll.KeyLookup($A$21,D$21,D$22,$A126)/$B$3,"-")</f>
        <v>-16.826000000000001</v>
      </c>
      <c r="E126" s="36">
        <f>IFERROR(_xll.KeyLookup($A$21,E$21,E$22,$A126)/$B$3,"-")</f>
        <v>-21.489000000000001</v>
      </c>
      <c r="F126" s="36">
        <f>IFERROR(_xll.KeyLookup($A$21,F$21,F$22,$A126)/$B$3,"-")</f>
        <v>-25.652000000000001</v>
      </c>
      <c r="G126" s="36">
        <f>IFERROR(_xll.KeyLookup($A$21,G$21,G$22,$A126)/$B$3,"-")</f>
        <v>-40.795000000000002</v>
      </c>
      <c r="H126" s="36">
        <f>IFERROR(_xll.KeyLookup($A$21,H$21,H$22,$A126)/$B$3,"-")</f>
        <v>-15.477</v>
      </c>
      <c r="I126" s="36">
        <f>IFERROR(_xll.KeyLookup($A$21,I$21,I$22,$A126)/$B$3,"-")</f>
        <v>-24.288</v>
      </c>
      <c r="J126" s="36">
        <f>IFERROR(_xll.KeyLookup($A$21,J$21,J$22,$A126)/$B$3,"-")</f>
        <v>-32.662999999999997</v>
      </c>
      <c r="K126" s="36">
        <f>IFERROR(_xll.KeyLookup($A$21,K$21,K$22,$A126)/$B$3,"-")</f>
        <v>-33.945999999999998</v>
      </c>
      <c r="L126" s="36">
        <f>IFERROR(_xll.KeyLookup($A$21,L$21,L$22,$A126)/$B$3,"-")</f>
        <v>-14.009</v>
      </c>
      <c r="M126" s="36">
        <f>IFERROR(_xll.KeyLookup($A$21,M$21,M$22,$A126)/$B$3,"-")</f>
        <v>-38.383000000000003</v>
      </c>
      <c r="N126" s="36">
        <f>IFERROR(_xll.KeyLookup($A$21,N$21,N$22,$A126)/$B$3,"-")</f>
        <v>-43.817999999999998</v>
      </c>
      <c r="O126" s="36">
        <f>IFERROR(_xll.KeyLookup($A$21,O$21,O$22,$A126)/$B$3,"-")</f>
        <v>-37.610999999999997</v>
      </c>
      <c r="P126" s="36">
        <f>IFERROR(_xll.KeyLookup($A$21,P$21,P$22,$A126)/$B$3,"-")</f>
        <v>-34.558999999999997</v>
      </c>
    </row>
    <row r="127" spans="1:16" x14ac:dyDescent="0.2">
      <c r="A127" s="26">
        <v>53101</v>
      </c>
      <c r="B127" s="1" t="str">
        <f>_xll.KeyName($A$21,A127)</f>
        <v>Proceeds from long term borrowings</v>
      </c>
      <c r="C127" s="33">
        <f>IFERROR(_xll.KeyLookup($A$21,C$21,C$22,$A127)/$B$3,"-")</f>
        <v>0</v>
      </c>
      <c r="D127" s="33">
        <f>IFERROR(_xll.KeyLookup($A$21,D$21,D$22,$A127)/$B$3,"-")</f>
        <v>0</v>
      </c>
      <c r="E127" s="33">
        <f>IFERROR(_xll.KeyLookup($A$21,E$21,E$22,$A127)/$B$3,"-")</f>
        <v>0</v>
      </c>
      <c r="F127" s="33">
        <f>IFERROR(_xll.KeyLookup($A$21,F$21,F$22,$A127)/$B$3,"-")</f>
        <v>0</v>
      </c>
      <c r="G127" s="33">
        <f>IFERROR(_xll.KeyLookup($A$21,G$21,G$22,$A127)/$B$3,"-")</f>
        <v>0</v>
      </c>
      <c r="H127" s="33">
        <f>IFERROR(_xll.KeyLookup($A$21,H$21,H$22,$A127)/$B$3,"-")</f>
        <v>0</v>
      </c>
      <c r="I127" s="33">
        <f>IFERROR(_xll.KeyLookup($A$21,I$21,I$22,$A127)/$B$3,"-")</f>
        <v>0</v>
      </c>
      <c r="J127" s="33">
        <f>IFERROR(_xll.KeyLookup($A$21,J$21,J$22,$A127)/$B$3,"-")</f>
        <v>0</v>
      </c>
      <c r="K127" s="33">
        <f>IFERROR(_xll.KeyLookup($A$21,K$21,K$22,$A127)/$B$3,"-")</f>
        <v>0</v>
      </c>
      <c r="L127" s="33">
        <f>IFERROR(_xll.KeyLookup($A$21,L$21,L$22,$A127)/$B$3,"-")</f>
        <v>0</v>
      </c>
      <c r="M127" s="33">
        <f>IFERROR(_xll.KeyLookup($A$21,M$21,M$22,$A127)/$B$3,"-")</f>
        <v>0</v>
      </c>
      <c r="N127" s="33">
        <f>IFERROR(_xll.KeyLookup($A$21,N$21,N$22,$A127)/$B$3,"-")</f>
        <v>0.81299999999999994</v>
      </c>
      <c r="O127" s="33">
        <f>IFERROR(_xll.KeyLookup($A$21,O$21,O$22,$A127)/$B$3,"-")</f>
        <v>23.66</v>
      </c>
      <c r="P127" s="33">
        <f>IFERROR(_xll.KeyLookup($A$21,P$21,P$22,$A127)/$B$3,"-")</f>
        <v>0</v>
      </c>
    </row>
    <row r="128" spans="1:16" x14ac:dyDescent="0.2">
      <c r="A128" s="26">
        <v>53102</v>
      </c>
      <c r="B128" s="1" t="str">
        <f>_xll.KeyName($A$21,A128)</f>
        <v>Repayment of long term borrowings</v>
      </c>
      <c r="C128" s="33">
        <f>IFERROR(_xll.KeyLookup($A$21,C$21,C$22,$A128)/$B$3,"-")</f>
        <v>-25.713999999999999</v>
      </c>
      <c r="D128" s="33">
        <f>IFERROR(_xll.KeyLookup($A$21,D$21,D$22,$A128)/$B$3,"-")</f>
        <v>-3.9060000000000001</v>
      </c>
      <c r="E128" s="33">
        <f>IFERROR(_xll.KeyLookup($A$21,E$21,E$22,$A128)/$B$3,"-")</f>
        <v>-9.4009999999999998</v>
      </c>
      <c r="F128" s="33">
        <f>IFERROR(_xll.KeyLookup($A$21,F$21,F$22,$A128)/$B$3,"-")</f>
        <v>-6.1239999999999997</v>
      </c>
      <c r="G128" s="33">
        <f>IFERROR(_xll.KeyLookup($A$21,G$21,G$22,$A128)/$B$3,"-")</f>
        <v>-11.239000000000001</v>
      </c>
      <c r="H128" s="33">
        <f>IFERROR(_xll.KeyLookup($A$21,H$21,H$22,$A128)/$B$3,"-")</f>
        <v>-3.93</v>
      </c>
      <c r="I128" s="33">
        <f>IFERROR(_xll.KeyLookup($A$21,I$21,I$22,$A128)/$B$3,"-")</f>
        <v>-10.361000000000001</v>
      </c>
      <c r="J128" s="33">
        <f>IFERROR(_xll.KeyLookup($A$21,J$21,J$22,$A128)/$B$3,"-")</f>
        <v>-7.9420000000000002</v>
      </c>
      <c r="K128" s="33">
        <f>IFERROR(_xll.KeyLookup($A$21,K$21,K$22,$A128)/$B$3,"-")</f>
        <v>-29.138000000000002</v>
      </c>
      <c r="L128" s="33">
        <f>IFERROR(_xll.KeyLookup($A$21,L$21,L$22,$A128)/$B$3,"-")</f>
        <v>-33.921999999999997</v>
      </c>
      <c r="M128" s="33">
        <f>IFERROR(_xll.KeyLookup($A$21,M$21,M$22,$A128)/$B$3,"-")</f>
        <v>-3.6219999999999999</v>
      </c>
      <c r="N128" s="33">
        <f>IFERROR(_xll.KeyLookup($A$21,N$21,N$22,$A128)/$B$3,"-")</f>
        <v>-3.8210000000000002</v>
      </c>
      <c r="O128" s="33">
        <f>IFERROR(_xll.KeyLookup($A$21,O$21,O$22,$A128)/$B$3,"-")</f>
        <v>-3.78</v>
      </c>
      <c r="P128" s="33">
        <f>IFERROR(_xll.KeyLookup($A$21,P$21,P$22,$A128)/$B$3,"-")</f>
        <v>-2.7730000000000001</v>
      </c>
    </row>
    <row r="129" spans="1:16" x14ac:dyDescent="0.2">
      <c r="A129" s="26">
        <v>53201</v>
      </c>
      <c r="B129" s="1" t="str">
        <f>_xll.KeyName($A$21,A129)</f>
        <v>Proceeds from shares issued in prior year</v>
      </c>
      <c r="C129" s="33">
        <f>IFERROR(_xll.KeyLookup($A$21,C$21,C$22,$A129)/$B$3,"-")</f>
        <v>0</v>
      </c>
      <c r="D129" s="33">
        <f>IFERROR(_xll.KeyLookup($A$21,D$21,D$22,$A129)/$B$3,"-")</f>
        <v>0</v>
      </c>
      <c r="E129" s="33">
        <f>IFERROR(_xll.KeyLookup($A$21,E$21,E$22,$A129)/$B$3,"-")</f>
        <v>0</v>
      </c>
      <c r="F129" s="33">
        <f>IFERROR(_xll.KeyLookup($A$21,F$21,F$22,$A129)/$B$3,"-")</f>
        <v>0</v>
      </c>
      <c r="G129" s="33">
        <f>IFERROR(_xll.KeyLookup($A$21,G$21,G$22,$A129)/$B$3,"-")</f>
        <v>0</v>
      </c>
      <c r="H129" s="33">
        <f>IFERROR(_xll.KeyLookup($A$21,H$21,H$22,$A129)/$B$3,"-")</f>
        <v>0</v>
      </c>
      <c r="I129" s="33">
        <f>IFERROR(_xll.KeyLookup($A$21,I$21,I$22,$A129)/$B$3,"-")</f>
        <v>0</v>
      </c>
      <c r="J129" s="33">
        <f>IFERROR(_xll.KeyLookup($A$21,J$21,J$22,$A129)/$B$3,"-")</f>
        <v>0</v>
      </c>
      <c r="K129" s="33">
        <f>IFERROR(_xll.KeyLookup($A$21,K$21,K$22,$A129)/$B$3,"-")</f>
        <v>0</v>
      </c>
      <c r="L129" s="33">
        <f>IFERROR(_xll.KeyLookup($A$21,L$21,L$22,$A129)/$B$3,"-")</f>
        <v>0</v>
      </c>
      <c r="M129" s="33">
        <f>IFERROR(_xll.KeyLookup($A$21,M$21,M$22,$A129)/$B$3,"-")</f>
        <v>0</v>
      </c>
      <c r="N129" s="33">
        <f>IFERROR(_xll.KeyLookup($A$21,N$21,N$22,$A129)/$B$3,"-")</f>
        <v>0</v>
      </c>
      <c r="O129" s="33">
        <f>IFERROR(_xll.KeyLookup($A$21,O$21,O$22,$A129)/$B$3,"-")</f>
        <v>0</v>
      </c>
      <c r="P129" s="33">
        <f>IFERROR(_xll.KeyLookup($A$21,P$21,P$22,$A129)/$B$3,"-")</f>
        <v>0</v>
      </c>
    </row>
    <row r="130" spans="1:16" x14ac:dyDescent="0.2">
      <c r="A130" s="26">
        <v>53221</v>
      </c>
      <c r="B130" s="1" t="str">
        <f>_xll.KeyName($A$21,A130)</f>
        <v>Dividend paid</v>
      </c>
      <c r="C130" s="33">
        <f>IFERROR(_xll.KeyLookup($A$21,C$21,C$22,$A130)/$B$3,"-")</f>
        <v>0</v>
      </c>
      <c r="D130" s="33">
        <f>IFERROR(_xll.KeyLookup($A$21,D$21,D$22,$A130)/$B$3,"-")</f>
        <v>-6.3079999999999998</v>
      </c>
      <c r="E130" s="33">
        <f>IFERROR(_xll.KeyLookup($A$21,E$21,E$22,$A130)/$B$3,"-")</f>
        <v>0</v>
      </c>
      <c r="F130" s="33">
        <f>IFERROR(_xll.KeyLookup($A$21,F$21,F$22,$A130)/$B$3,"-")</f>
        <v>0</v>
      </c>
      <c r="G130" s="33">
        <f>IFERROR(_xll.KeyLookup($A$21,G$21,G$22,$A130)/$B$3,"-")</f>
        <v>0</v>
      </c>
      <c r="H130" s="33">
        <f>IFERROR(_xll.KeyLookup($A$21,H$21,H$22,$A130)/$B$3,"-")</f>
        <v>-11.76</v>
      </c>
      <c r="I130" s="33">
        <f>IFERROR(_xll.KeyLookup($A$21,I$21,I$22,$A130)/$B$3,"-")</f>
        <v>0</v>
      </c>
      <c r="J130" s="33">
        <f>IFERROR(_xll.KeyLookup($A$21,J$21,J$22,$A130)/$B$3,"-")</f>
        <v>0</v>
      </c>
      <c r="K130" s="33">
        <f>IFERROR(_xll.KeyLookup($A$21,K$21,K$22,$A130)/$B$3,"-")</f>
        <v>0</v>
      </c>
      <c r="L130" s="33">
        <f>IFERROR(_xll.KeyLookup($A$21,L$21,L$22,$A130)/$B$3,"-")</f>
        <v>-18.994</v>
      </c>
      <c r="M130" s="33">
        <f>IFERROR(_xll.KeyLookup($A$21,M$21,M$22,$A130)/$B$3,"-")</f>
        <v>0</v>
      </c>
      <c r="N130" s="33">
        <f>IFERROR(_xll.KeyLookup($A$21,N$21,N$22,$A130)/$B$3,"-")</f>
        <v>0</v>
      </c>
      <c r="O130" s="33">
        <f>IFERROR(_xll.KeyLookup($A$21,O$21,O$22,$A130)/$B$3,"-")</f>
        <v>0</v>
      </c>
      <c r="P130" s="33">
        <f>IFERROR(_xll.KeyLookup($A$21,P$21,P$22,$A130)/$B$3,"-")</f>
        <v>-17.943000000000001</v>
      </c>
    </row>
    <row r="131" spans="1:16" ht="13.5" thickBot="1" x14ac:dyDescent="0.25">
      <c r="A131" s="6" t="s">
        <v>25</v>
      </c>
      <c r="B131" s="7" t="str">
        <f>_xll.KeyName($A$21,A131)</f>
        <v>Net Cash from Financing Activities</v>
      </c>
      <c r="C131" s="36">
        <f>IFERROR(_xll.KeyLookup($A$21,C$21,C$22,$A131)/$B$3,"-")</f>
        <v>-25.713999999999999</v>
      </c>
      <c r="D131" s="36">
        <f>IFERROR(_xll.KeyLookup($A$21,D$21,D$22,$A131)/$B$3,"-")</f>
        <v>-10.214</v>
      </c>
      <c r="E131" s="36">
        <f>IFERROR(_xll.KeyLookup($A$21,E$21,E$22,$A131)/$B$3,"-")</f>
        <v>-9.4009999999999998</v>
      </c>
      <c r="F131" s="36">
        <f>IFERROR(_xll.KeyLookup($A$21,F$21,F$22,$A131)/$B$3,"-")</f>
        <v>-6.1239999999999997</v>
      </c>
      <c r="G131" s="36">
        <f>IFERROR(_xll.KeyLookup($A$21,G$21,G$22,$A131)/$B$3,"-")</f>
        <v>-11.239000000000001</v>
      </c>
      <c r="H131" s="36">
        <f>IFERROR(_xll.KeyLookup($A$21,H$21,H$22,$A131)/$B$3,"-")</f>
        <v>-15.69</v>
      </c>
      <c r="I131" s="36">
        <f>IFERROR(_xll.KeyLookup($A$21,I$21,I$22,$A131)/$B$3,"-")</f>
        <v>-10.361000000000001</v>
      </c>
      <c r="J131" s="36">
        <f>IFERROR(_xll.KeyLookup($A$21,J$21,J$22,$A131)/$B$3,"-")</f>
        <v>-7.9420000000000002</v>
      </c>
      <c r="K131" s="36">
        <f>IFERROR(_xll.KeyLookup($A$21,K$21,K$22,$A131)/$B$3,"-")</f>
        <v>-29.138000000000002</v>
      </c>
      <c r="L131" s="36">
        <f>IFERROR(_xll.KeyLookup($A$21,L$21,L$22,$A131)/$B$3,"-")</f>
        <v>-52.915999999999997</v>
      </c>
      <c r="M131" s="36">
        <f>IFERROR(_xll.KeyLookup($A$21,M$21,M$22,$A131)/$B$3,"-")</f>
        <v>-3.6219999999999999</v>
      </c>
      <c r="N131" s="36">
        <f>IFERROR(_xll.KeyLookup($A$21,N$21,N$22,$A131)/$B$3,"-")</f>
        <v>-3.008</v>
      </c>
      <c r="O131" s="36">
        <f>IFERROR(_xll.KeyLookup($A$21,O$21,O$22,$A131)/$B$3,"-")</f>
        <v>19.88</v>
      </c>
      <c r="P131" s="36">
        <f>IFERROR(_xll.KeyLookup($A$21,P$21,P$22,$A131)/$B$3,"-")</f>
        <v>-20.716000000000001</v>
      </c>
    </row>
    <row r="132" spans="1:16" x14ac:dyDescent="0.2">
      <c r="A132" s="26">
        <v>54101</v>
      </c>
      <c r="B132" s="1" t="str">
        <f>_xll.KeyName($A$21,A132)</f>
        <v>Exchange (loss) gain on net cash</v>
      </c>
      <c r="C132" s="33">
        <f>IFERROR(_xll.KeyLookup($A$21,C$21,C$22,$A132)/$B$3,"-")</f>
        <v>-0.74</v>
      </c>
      <c r="D132" s="33">
        <f>IFERROR(_xll.KeyLookup($A$21,D$21,D$22,$A132)/$B$3,"-")</f>
        <v>0.38100000000000001</v>
      </c>
      <c r="E132" s="33">
        <f>IFERROR(_xll.KeyLookup($A$21,E$21,E$22,$A132)/$B$3,"-")</f>
        <v>0.20100000000000001</v>
      </c>
      <c r="F132" s="33">
        <f>IFERROR(_xll.KeyLookup($A$21,F$21,F$22,$A132)/$B$3,"-")</f>
        <v>-1.0009999999999999</v>
      </c>
      <c r="G132" s="33">
        <f>IFERROR(_xll.KeyLookup($A$21,G$21,G$22,$A132)/$B$3,"-")</f>
        <v>0.47899999999999998</v>
      </c>
      <c r="H132" s="33">
        <f>IFERROR(_xll.KeyLookup($A$21,H$21,H$22,$A132)/$B$3,"-")</f>
        <v>0.11600000000000001</v>
      </c>
      <c r="I132" s="33">
        <f>IFERROR(_xll.KeyLookup($A$21,I$21,I$22,$A132)/$B$3,"-")</f>
        <v>0.51800000000000002</v>
      </c>
      <c r="J132" s="33">
        <f>IFERROR(_xll.KeyLookup($A$21,J$21,J$22,$A132)/$B$3,"-")</f>
        <v>0.94599999999999995</v>
      </c>
      <c r="K132" s="33">
        <f>IFERROR(_xll.KeyLookup($A$21,K$21,K$22,$A132)/$B$3,"-")</f>
        <v>0.38800000000000001</v>
      </c>
      <c r="L132" s="33">
        <f>IFERROR(_xll.KeyLookup($A$21,L$21,L$22,$A132)/$B$3,"-")</f>
        <v>0.08</v>
      </c>
      <c r="M132" s="33">
        <f>IFERROR(_xll.KeyLookup($A$21,M$21,M$22,$A132)/$B$3,"-")</f>
        <v>-3.1789999999999998</v>
      </c>
      <c r="N132" s="33">
        <f>IFERROR(_xll.KeyLookup($A$21,N$21,N$22,$A132)/$B$3,"-")</f>
        <v>-0.54</v>
      </c>
      <c r="O132" s="33">
        <f>IFERROR(_xll.KeyLookup($A$21,O$21,O$22,$A132)/$B$3,"-")</f>
        <v>-2.0630000000000002</v>
      </c>
      <c r="P132" s="33">
        <f>IFERROR(_xll.KeyLookup($A$21,P$21,P$22,$A132)/$B$3,"-")</f>
        <v>0.79900000000000004</v>
      </c>
    </row>
    <row r="133" spans="1:16" x14ac:dyDescent="0.2">
      <c r="A133" s="26">
        <v>55101</v>
      </c>
      <c r="B133" s="1" t="str">
        <f>_xll.KeyName($A$21,A133)</f>
        <v>Cash and cash equivalents at beginning of year</v>
      </c>
      <c r="C133" s="33">
        <f>IFERROR(_xll.KeyLookup($A$21,C$21,C$22,$A133)/$B$3,"-")</f>
        <v>79.405000000000001</v>
      </c>
      <c r="D133" s="33">
        <f>IFERROR(_xll.KeyLookup($A$21,D$21,D$22,$A133)/$B$3,"-")</f>
        <v>126.58</v>
      </c>
      <c r="E133" s="33">
        <f>IFERROR(_xll.KeyLookup($A$21,E$21,E$22,$A133)/$B$3,"-")</f>
        <v>172.13499999999999</v>
      </c>
      <c r="F133" s="33">
        <f>IFERROR(_xll.KeyLookup($A$21,F$21,F$22,$A133)/$B$3,"-")</f>
        <v>151.55199999999999</v>
      </c>
      <c r="G133" s="33">
        <f>IFERROR(_xll.KeyLookup($A$21,G$21,G$22,$A133)/$B$3,"-")</f>
        <v>117.06</v>
      </c>
      <c r="H133" s="33">
        <f>IFERROR(_xll.KeyLookup($A$21,H$21,H$22,$A133)/$B$3,"-")</f>
        <v>143.958</v>
      </c>
      <c r="I133" s="33">
        <f>IFERROR(_xll.KeyLookup($A$21,I$21,I$22,$A133)/$B$3,"-")</f>
        <v>219.34299999999999</v>
      </c>
      <c r="J133" s="33">
        <f>IFERROR(_xll.KeyLookup($A$21,J$21,J$22,$A133)/$B$3,"-")</f>
        <v>215.48400000000001</v>
      </c>
      <c r="K133" s="33">
        <f>IFERROR(_xll.KeyLookup($A$21,K$21,K$22,$A133)/$B$3,"-")</f>
        <v>191.53800000000001</v>
      </c>
      <c r="L133" s="33">
        <f>IFERROR(_xll.KeyLookup($A$21,L$21,L$22,$A133)/$B$3,"-")</f>
        <v>250.21299999999999</v>
      </c>
      <c r="M133" s="33">
        <f>IFERROR(_xll.KeyLookup($A$21,M$21,M$22,$A133)/$B$3,"-")</f>
        <v>266.99299999999999</v>
      </c>
      <c r="N133" s="33">
        <f>IFERROR(_xll.KeyLookup($A$21,N$21,N$22,$A133)/$B$3,"-")</f>
        <v>227.57599999999999</v>
      </c>
      <c r="O133" s="33">
        <f>IFERROR(_xll.KeyLookup($A$21,O$21,O$22,$A133)/$B$3,"-")</f>
        <v>184.762</v>
      </c>
      <c r="P133" s="33">
        <f>IFERROR(_xll.KeyLookup($A$21,P$21,P$22,$A133)/$B$3,"-")</f>
        <v>282.65499999999997</v>
      </c>
    </row>
    <row r="134" spans="1:16" ht="13.5" thickBot="1" x14ac:dyDescent="0.25">
      <c r="A134" s="6" t="s">
        <v>26</v>
      </c>
      <c r="B134" s="7" t="str">
        <f>_xll.KeyName($A$21,A134)</f>
        <v>Cash at the End of the Period</v>
      </c>
      <c r="C134" s="36">
        <f>IFERROR(_xll.KeyLookup($A$21,C$21,C$22,$A134)/$B$3,"-")</f>
        <v>126.58</v>
      </c>
      <c r="D134" s="36">
        <f>IFERROR(_xll.KeyLookup($A$21,D$21,D$22,$A134)/$B$3,"-")</f>
        <v>172.13499999999999</v>
      </c>
      <c r="E134" s="36">
        <f>IFERROR(_xll.KeyLookup($A$21,E$21,E$22,$A134)/$B$3,"-")</f>
        <v>151.55199999999999</v>
      </c>
      <c r="F134" s="36">
        <f>IFERROR(_xll.KeyLookup($A$21,F$21,F$22,$A134)/$B$3,"-")</f>
        <v>117.06</v>
      </c>
      <c r="G134" s="36">
        <f>IFERROR(_xll.KeyLookup($A$21,G$21,G$22,$A134)/$B$3,"-")</f>
        <v>143.958</v>
      </c>
      <c r="H134" s="36">
        <f>IFERROR(_xll.KeyLookup($A$21,H$21,H$22,$A134)/$B$3,"-")</f>
        <v>219.34299999999999</v>
      </c>
      <c r="I134" s="36">
        <f>IFERROR(_xll.KeyLookup($A$21,I$21,I$22,$A134)/$B$3,"-")</f>
        <v>215.48400000000001</v>
      </c>
      <c r="J134" s="36">
        <f>IFERROR(_xll.KeyLookup($A$21,J$21,J$22,$A134)/$B$3,"-")</f>
        <v>191.53800000000001</v>
      </c>
      <c r="K134" s="36">
        <f>IFERROR(_xll.KeyLookup($A$21,K$21,K$22,$A134)/$B$3,"-")</f>
        <v>250.21299999999999</v>
      </c>
      <c r="L134" s="36">
        <f>IFERROR(_xll.KeyLookup($A$21,L$21,L$22,$A134)/$B$3,"-")</f>
        <v>266.99299999999999</v>
      </c>
      <c r="M134" s="36">
        <f>IFERROR(_xll.KeyLookup($A$21,M$21,M$22,$A134)/$B$3,"-")</f>
        <v>227.57599999999999</v>
      </c>
      <c r="N134" s="36">
        <f>IFERROR(_xll.KeyLookup($A$21,N$21,N$22,$A134)/$B$3,"-")</f>
        <v>184.762</v>
      </c>
      <c r="O134" s="36">
        <f>IFERROR(_xll.KeyLookup($A$21,O$21,O$22,$A134)/$B$3,"-")</f>
        <v>282.65499999999997</v>
      </c>
      <c r="P134" s="36">
        <f>IFERROR(_xll.KeyLookup($A$21,P$21,P$22,$A134)/$B$3,"-")</f>
        <v>314.90300000000002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einaroddsson</dc:creator>
  <cp:lastModifiedBy>einaroddsson</cp:lastModifiedBy>
  <dcterms:created xsi:type="dcterms:W3CDTF">2015-04-20T21:47:03Z</dcterms:created>
  <dcterms:modified xsi:type="dcterms:W3CDTF">2015-08-20T10:14:14Z</dcterms:modified>
</cp:coreProperties>
</file>