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tandi\Dropbox\base_einar\projects\kodi\kodiak_excel\official_demodocs\companies\"/>
    </mc:Choice>
  </mc:AlternateContent>
  <bookViews>
    <workbookView xWindow="0" yWindow="0" windowWidth="38400" windowHeight="19590"/>
  </bookViews>
  <sheets>
    <sheet name="Sheet1" sheetId="1" r:id="rId1"/>
  </sheets>
  <externalReferences>
    <externalReference r:id="rId2"/>
  </externalReferences>
  <definedNames>
    <definedName name="GeniusQuery_1" localSheetId="0">Sheet1!$B$62:$D$82</definedName>
    <definedName name="investors">Sheet1!$B$63:$B$83</definedName>
    <definedName name="owners">[1]Sheet1!$B$53:$B$72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7" i="1" l="1"/>
  <c r="O15" i="1"/>
  <c r="O14" i="1"/>
  <c r="O13" i="1"/>
  <c r="O58" i="1"/>
  <c r="O57" i="1"/>
  <c r="O52" i="1"/>
  <c r="O48" i="1"/>
  <c r="O44" i="1"/>
  <c r="O43" i="1"/>
  <c r="O39" i="1"/>
  <c r="O56" i="1"/>
  <c r="O55" i="1"/>
  <c r="O54" i="1"/>
  <c r="O53" i="1"/>
  <c r="O51" i="1"/>
  <c r="O50" i="1"/>
  <c r="O49" i="1"/>
  <c r="O47" i="1"/>
  <c r="O46" i="1"/>
  <c r="O45" i="1"/>
  <c r="O42" i="1"/>
  <c r="O41" i="1"/>
  <c r="O40" i="1"/>
  <c r="O38" i="1"/>
  <c r="O37" i="1"/>
  <c r="O36" i="1"/>
  <c r="O32" i="1"/>
  <c r="O30" i="1"/>
  <c r="O29" i="1"/>
  <c r="O27" i="1"/>
  <c r="O33" i="1"/>
  <c r="O31" i="1"/>
  <c r="O28" i="1"/>
  <c r="O26" i="1"/>
  <c r="O25" i="1"/>
  <c r="O24" i="1"/>
  <c r="O23" i="1"/>
  <c r="O22" i="1"/>
  <c r="N11" i="1"/>
  <c r="O16" i="1" l="1"/>
  <c r="N16" i="1"/>
  <c r="M16" i="1"/>
  <c r="N14" i="1"/>
  <c r="M14" i="1"/>
  <c r="O11" i="1"/>
  <c r="M11" i="1"/>
  <c r="L11" i="1"/>
  <c r="O8" i="1"/>
  <c r="N8" i="1"/>
  <c r="M8" i="1"/>
  <c r="O7" i="1"/>
  <c r="O6" i="1"/>
  <c r="N7" i="1"/>
  <c r="N6" i="1"/>
  <c r="M7" i="1"/>
  <c r="M6" i="1"/>
  <c r="L8" i="1"/>
  <c r="L7" i="1"/>
  <c r="L6" i="1"/>
  <c r="N58" i="1"/>
  <c r="M57" i="1"/>
  <c r="L56" i="1"/>
  <c r="N54" i="1"/>
  <c r="M53" i="1"/>
  <c r="L52" i="1"/>
  <c r="N50" i="1"/>
  <c r="M49" i="1"/>
  <c r="L48" i="1"/>
  <c r="N46" i="1"/>
  <c r="M45" i="1"/>
  <c r="L44" i="1"/>
  <c r="N42" i="1"/>
  <c r="M41" i="1"/>
  <c r="L40" i="1"/>
  <c r="N38" i="1"/>
  <c r="M37" i="1"/>
  <c r="L36" i="1"/>
  <c r="N32" i="1"/>
  <c r="M31" i="1"/>
  <c r="L30" i="1"/>
  <c r="N28" i="1"/>
  <c r="M27" i="1"/>
  <c r="L26" i="1"/>
  <c r="N24" i="1"/>
  <c r="M23" i="1"/>
  <c r="L22" i="1"/>
  <c r="L43" i="1"/>
  <c r="L39" i="1"/>
  <c r="L33" i="1"/>
  <c r="L29" i="1"/>
  <c r="L25" i="1"/>
  <c r="M58" i="1"/>
  <c r="L57" i="1"/>
  <c r="N55" i="1"/>
  <c r="M54" i="1"/>
  <c r="L53" i="1"/>
  <c r="N51" i="1"/>
  <c r="M50" i="1"/>
  <c r="L49" i="1"/>
  <c r="N47" i="1"/>
  <c r="M46" i="1"/>
  <c r="L45" i="1"/>
  <c r="N43" i="1"/>
  <c r="M42" i="1"/>
  <c r="L41" i="1"/>
  <c r="N39" i="1"/>
  <c r="M38" i="1"/>
  <c r="L37" i="1"/>
  <c r="N33" i="1"/>
  <c r="M32" i="1"/>
  <c r="L31" i="1"/>
  <c r="N29" i="1"/>
  <c r="M28" i="1"/>
  <c r="L27" i="1"/>
  <c r="N25" i="1"/>
  <c r="M24" i="1"/>
  <c r="L23" i="1"/>
  <c r="N57" i="1"/>
  <c r="L55" i="1"/>
  <c r="M52" i="1"/>
  <c r="N49" i="1"/>
  <c r="L47" i="1"/>
  <c r="M44" i="1"/>
  <c r="M40" i="1"/>
  <c r="M36" i="1"/>
  <c r="M30" i="1"/>
  <c r="M26" i="1"/>
  <c r="M22" i="1"/>
  <c r="L58" i="1"/>
  <c r="N56" i="1"/>
  <c r="M55" i="1"/>
  <c r="L54" i="1"/>
  <c r="N52" i="1"/>
  <c r="M51" i="1"/>
  <c r="L50" i="1"/>
  <c r="N48" i="1"/>
  <c r="M47" i="1"/>
  <c r="L46" i="1"/>
  <c r="N44" i="1"/>
  <c r="M43" i="1"/>
  <c r="L42" i="1"/>
  <c r="N40" i="1"/>
  <c r="M39" i="1"/>
  <c r="L38" i="1"/>
  <c r="N36" i="1"/>
  <c r="M33" i="1"/>
  <c r="L32" i="1"/>
  <c r="N30" i="1"/>
  <c r="M29" i="1"/>
  <c r="L28" i="1"/>
  <c r="N26" i="1"/>
  <c r="M25" i="1"/>
  <c r="L24" i="1"/>
  <c r="N22" i="1"/>
  <c r="M56" i="1"/>
  <c r="N53" i="1"/>
  <c r="L51" i="1"/>
  <c r="M48" i="1"/>
  <c r="N45" i="1"/>
  <c r="N41" i="1"/>
  <c r="N37" i="1"/>
  <c r="N31" i="1"/>
  <c r="N27" i="1"/>
  <c r="N23" i="1"/>
  <c r="O9" i="1" l="1"/>
  <c r="O10" i="1" s="1"/>
  <c r="N9" i="1"/>
  <c r="N10" i="1" s="1"/>
  <c r="N17" i="1" s="1"/>
  <c r="M9" i="1"/>
  <c r="M10" i="1" s="1"/>
  <c r="M17" i="1" s="1"/>
  <c r="L9" i="1"/>
  <c r="L10" i="1" s="1"/>
  <c r="D83" i="1"/>
  <c r="O5" i="1"/>
  <c r="L16" i="1" l="1"/>
  <c r="L17" i="1"/>
  <c r="O12" i="1"/>
  <c r="N15" i="1"/>
  <c r="N12" i="1"/>
  <c r="N13" i="1" s="1"/>
  <c r="M12" i="1"/>
  <c r="M13" i="1" s="1"/>
  <c r="M15" i="1"/>
  <c r="L12" i="1"/>
  <c r="L15" i="1"/>
  <c r="C6" i="1"/>
  <c r="I58" i="1"/>
  <c r="B57" i="1"/>
  <c r="K56" i="1"/>
  <c r="D56" i="1"/>
  <c r="K55" i="1"/>
  <c r="D54" i="1"/>
  <c r="J53" i="1"/>
  <c r="G53" i="1"/>
  <c r="C52" i="1"/>
  <c r="K58" i="1"/>
  <c r="D57" i="1"/>
  <c r="F56" i="1"/>
  <c r="F54" i="1"/>
  <c r="C54" i="1"/>
  <c r="I53" i="1"/>
  <c r="E52" i="1"/>
  <c r="K51" i="1"/>
  <c r="D51" i="1"/>
  <c r="J50" i="1"/>
  <c r="G49" i="1"/>
  <c r="F48" i="1"/>
  <c r="F46" i="1"/>
  <c r="C46" i="1"/>
  <c r="I45" i="1"/>
  <c r="E44" i="1"/>
  <c r="K43" i="1"/>
  <c r="D43" i="1"/>
  <c r="K42" i="1"/>
  <c r="D41" i="1"/>
  <c r="J38" i="1"/>
  <c r="G38" i="1"/>
  <c r="C40" i="1"/>
  <c r="K37" i="1"/>
  <c r="G36" i="1"/>
  <c r="C33" i="1"/>
  <c r="K31" i="1"/>
  <c r="C50" i="1"/>
  <c r="B49" i="1"/>
  <c r="B47" i="1"/>
  <c r="E46" i="1"/>
  <c r="G44" i="1"/>
  <c r="F43" i="1"/>
  <c r="F41" i="1"/>
  <c r="I38" i="1"/>
  <c r="E33" i="1"/>
  <c r="K30" i="1"/>
  <c r="G29" i="1"/>
  <c r="C28" i="1"/>
  <c r="K26" i="1"/>
  <c r="G25" i="1"/>
  <c r="C24" i="1"/>
  <c r="D36" i="1"/>
  <c r="D30" i="1"/>
  <c r="D26" i="1"/>
  <c r="D23" i="1"/>
  <c r="J7" i="1"/>
  <c r="B39" i="1"/>
  <c r="J30" i="1"/>
  <c r="F25" i="1"/>
  <c r="C22" i="1"/>
  <c r="I51" i="1"/>
  <c r="H50" i="1"/>
  <c r="K48" i="1"/>
  <c r="K47" i="1"/>
  <c r="J45" i="1"/>
  <c r="C44" i="1"/>
  <c r="B43" i="1"/>
  <c r="B41" i="1"/>
  <c r="E38" i="1"/>
  <c r="I37" i="1"/>
  <c r="I30" i="1"/>
  <c r="E29" i="1"/>
  <c r="I26" i="1"/>
  <c r="E25" i="1"/>
  <c r="H40" i="1"/>
  <c r="H33" i="1"/>
  <c r="H29" i="1"/>
  <c r="H25" i="1"/>
  <c r="B23" i="1"/>
  <c r="J6" i="1"/>
  <c r="F39" i="1"/>
  <c r="J33" i="1"/>
  <c r="B31" i="1"/>
  <c r="F28" i="1"/>
  <c r="J25" i="1"/>
  <c r="I23" i="1"/>
  <c r="E22" i="1"/>
  <c r="K6" i="1"/>
  <c r="D6" i="1"/>
  <c r="F31" i="1"/>
  <c r="B26" i="1"/>
  <c r="G22" i="1"/>
  <c r="B89" i="1"/>
  <c r="D58" i="1"/>
  <c r="G57" i="1"/>
  <c r="F55" i="1"/>
  <c r="I54" i="1"/>
  <c r="K52" i="1"/>
  <c r="C58" i="1"/>
  <c r="E56" i="1"/>
  <c r="K54" i="1"/>
  <c r="C51" i="1"/>
  <c r="B50" i="1"/>
  <c r="E48" i="1"/>
  <c r="E47" i="1"/>
  <c r="D45" i="1"/>
  <c r="F44" i="1"/>
  <c r="F42" i="1"/>
  <c r="I41" i="1"/>
  <c r="K40" i="1"/>
  <c r="C37" i="1"/>
  <c r="G32" i="1"/>
  <c r="F51" i="1"/>
  <c r="H48" i="1"/>
  <c r="K45" i="1"/>
  <c r="E40" i="1"/>
  <c r="H58" i="1"/>
  <c r="E58" i="1"/>
  <c r="K57" i="1"/>
  <c r="G56" i="1"/>
  <c r="J55" i="1"/>
  <c r="G55" i="1"/>
  <c r="F53" i="1"/>
  <c r="C53" i="1"/>
  <c r="J58" i="1"/>
  <c r="G58" i="1"/>
  <c r="I56" i="1"/>
  <c r="B56" i="1"/>
  <c r="I55" i="1"/>
  <c r="B54" i="1"/>
  <c r="H53" i="1"/>
  <c r="E53" i="1"/>
  <c r="J52" i="1"/>
  <c r="G51" i="1"/>
  <c r="F50" i="1"/>
  <c r="C49" i="1"/>
  <c r="I48" i="1"/>
  <c r="B48" i="1"/>
  <c r="I47" i="1"/>
  <c r="B46" i="1"/>
  <c r="H45" i="1"/>
  <c r="E45" i="1"/>
  <c r="J44" i="1"/>
  <c r="G43" i="1"/>
  <c r="J42" i="1"/>
  <c r="G42" i="1"/>
  <c r="F38" i="1"/>
  <c r="C38" i="1"/>
  <c r="K39" i="1"/>
  <c r="G37" i="1"/>
  <c r="C36" i="1"/>
  <c r="K32" i="1"/>
  <c r="G31" i="1"/>
  <c r="E51" i="1"/>
  <c r="D50" i="1"/>
  <c r="G48" i="1"/>
  <c r="G47" i="1"/>
  <c r="F45" i="1"/>
  <c r="H44" i="1"/>
  <c r="H42" i="1"/>
  <c r="K41" i="1"/>
  <c r="E37" i="1"/>
  <c r="I32" i="1"/>
  <c r="G30" i="1"/>
  <c r="C29" i="1"/>
  <c r="K27" i="1"/>
  <c r="G26" i="1"/>
  <c r="C25" i="1"/>
  <c r="D40" i="1"/>
  <c r="D33" i="1"/>
  <c r="D29" i="1"/>
  <c r="D25" i="1"/>
  <c r="J22" i="1"/>
  <c r="H6" i="1"/>
  <c r="J36" i="1"/>
  <c r="F29" i="1"/>
  <c r="B24" i="1"/>
  <c r="E6" i="1"/>
  <c r="J51" i="1"/>
  <c r="C48" i="1"/>
  <c r="C47" i="1"/>
  <c r="B45" i="1"/>
  <c r="D44" i="1"/>
  <c r="D42" i="1"/>
  <c r="G41" i="1"/>
  <c r="I40" i="1"/>
  <c r="E32" i="1"/>
  <c r="E30" i="1"/>
  <c r="I27" i="1"/>
  <c r="E26" i="1"/>
  <c r="H39" i="1"/>
  <c r="H32" i="1"/>
  <c r="H28" i="1"/>
  <c r="H24" i="1"/>
  <c r="H22" i="1"/>
  <c r="F6" i="1"/>
  <c r="J37" i="1"/>
  <c r="B33" i="1"/>
  <c r="F30" i="1"/>
  <c r="J27" i="1"/>
  <c r="B25" i="1"/>
  <c r="E23" i="1"/>
  <c r="I8" i="1"/>
  <c r="C3" i="1"/>
  <c r="F37" i="1"/>
  <c r="B30" i="1"/>
  <c r="J24" i="1"/>
  <c r="K7" i="1"/>
  <c r="J57" i="1"/>
  <c r="C56" i="1"/>
  <c r="C55" i="1"/>
  <c r="B53" i="1"/>
  <c r="F58" i="1"/>
  <c r="I57" i="1"/>
  <c r="H55" i="1"/>
  <c r="E55" i="1"/>
  <c r="D53" i="1"/>
  <c r="F52" i="1"/>
  <c r="I50" i="1"/>
  <c r="H49" i="1"/>
  <c r="H47" i="1"/>
  <c r="K46" i="1"/>
  <c r="C43" i="1"/>
  <c r="C42" i="1"/>
  <c r="B38" i="1"/>
  <c r="G39" i="1"/>
  <c r="K33" i="1"/>
  <c r="C31" i="1"/>
  <c r="I49" i="1"/>
  <c r="H46" i="1"/>
  <c r="C41" i="1"/>
  <c r="I36" i="1"/>
  <c r="H56" i="1"/>
  <c r="K53" i="1"/>
  <c r="E57" i="1"/>
  <c r="G54" i="1"/>
  <c r="H51" i="1"/>
  <c r="J48" i="1"/>
  <c r="B42" i="1"/>
  <c r="G40" i="1"/>
  <c r="C32" i="1"/>
  <c r="J47" i="1"/>
  <c r="E42" i="1"/>
  <c r="K28" i="1"/>
  <c r="C26" i="1"/>
  <c r="D39" i="1"/>
  <c r="D28" i="1"/>
  <c r="F22" i="1"/>
  <c r="F33" i="1"/>
  <c r="G23" i="1"/>
  <c r="B51" i="1"/>
  <c r="D48" i="1"/>
  <c r="G45" i="1"/>
  <c r="I42" i="1"/>
  <c r="I31" i="1"/>
  <c r="I28" i="1"/>
  <c r="H37" i="1"/>
  <c r="H27" i="1"/>
  <c r="D22" i="1"/>
  <c r="B37" i="1"/>
  <c r="J29" i="1"/>
  <c r="F24" i="1"/>
  <c r="I6" i="1"/>
  <c r="B36" i="1"/>
  <c r="K23" i="1"/>
  <c r="B55" i="1"/>
  <c r="G52" i="1"/>
  <c r="J56" i="1"/>
  <c r="E50" i="1"/>
  <c r="D47" i="1"/>
  <c r="I44" i="1"/>
  <c r="H41" i="1"/>
  <c r="C39" i="1"/>
  <c r="H52" i="1"/>
  <c r="D38" i="1"/>
  <c r="E31" i="1"/>
  <c r="G28" i="1"/>
  <c r="K25" i="1"/>
  <c r="D37" i="1"/>
  <c r="D27" i="1"/>
  <c r="B22" i="1"/>
  <c r="B32" i="1"/>
  <c r="K22" i="1"/>
  <c r="G50" i="1"/>
  <c r="F47" i="1"/>
  <c r="K44" i="1"/>
  <c r="E39" i="1"/>
  <c r="E28" i="1"/>
  <c r="H36" i="1"/>
  <c r="J8" i="1"/>
  <c r="B29" i="1"/>
  <c r="K8" i="1"/>
  <c r="F57" i="1"/>
  <c r="H54" i="1"/>
  <c r="B58" i="1"/>
  <c r="D55" i="1"/>
  <c r="I52" i="1"/>
  <c r="K49" i="1"/>
  <c r="J46" i="1"/>
  <c r="B44" i="1"/>
  <c r="E41" i="1"/>
  <c r="K36" i="1"/>
  <c r="K50" i="1"/>
  <c r="C45" i="1"/>
  <c r="I39" i="1"/>
  <c r="C30" i="1"/>
  <c r="G27" i="1"/>
  <c r="K24" i="1"/>
  <c r="D32" i="1"/>
  <c r="D24" i="1"/>
  <c r="F40" i="1"/>
  <c r="B28" i="1"/>
  <c r="G6" i="1"/>
  <c r="E49" i="1"/>
  <c r="D46" i="1"/>
  <c r="I43" i="1"/>
  <c r="H38" i="1"/>
  <c r="E36" i="1"/>
  <c r="E27" i="1"/>
  <c r="I24" i="1"/>
  <c r="H31" i="1"/>
  <c r="J23" i="1"/>
  <c r="J40" i="1"/>
  <c r="F32" i="1"/>
  <c r="B27" i="1"/>
  <c r="J28" i="1"/>
  <c r="I7" i="1"/>
  <c r="C57" i="1"/>
  <c r="E54" i="1"/>
  <c r="H57" i="1"/>
  <c r="J54" i="1"/>
  <c r="B52" i="1"/>
  <c r="D49" i="1"/>
  <c r="G46" i="1"/>
  <c r="H43" i="1"/>
  <c r="K38" i="1"/>
  <c r="G33" i="1"/>
  <c r="J49" i="1"/>
  <c r="E43" i="1"/>
  <c r="K29" i="1"/>
  <c r="C27" i="1"/>
  <c r="G24" i="1"/>
  <c r="D31" i="1"/>
  <c r="H23" i="1"/>
  <c r="J39" i="1"/>
  <c r="J26" i="1"/>
  <c r="D52" i="1"/>
  <c r="F49" i="1"/>
  <c r="I46" i="1"/>
  <c r="J43" i="1"/>
  <c r="I33" i="1"/>
  <c r="I29" i="1"/>
  <c r="E24" i="1"/>
  <c r="H30" i="1"/>
  <c r="F23" i="1"/>
  <c r="B40" i="1"/>
  <c r="J31" i="1"/>
  <c r="F26" i="1"/>
  <c r="I22" i="1"/>
  <c r="F27" i="1"/>
  <c r="J41" i="1"/>
  <c r="I25" i="1"/>
  <c r="H26" i="1"/>
  <c r="F36" i="1"/>
  <c r="J32" i="1"/>
  <c r="C23" i="1"/>
  <c r="L13" i="1" l="1"/>
  <c r="L14" i="1"/>
  <c r="D11" i="1"/>
  <c r="F11" i="1"/>
  <c r="C11" i="1"/>
  <c r="E11" i="1"/>
  <c r="G11" i="1"/>
  <c r="H11" i="1"/>
  <c r="J11" i="1"/>
  <c r="I11" i="1"/>
  <c r="K11" i="1"/>
  <c r="I9" i="1"/>
  <c r="I10" i="1" s="1"/>
  <c r="K9" i="1"/>
  <c r="K10" i="1" s="1"/>
  <c r="J9" i="1"/>
  <c r="J10" i="1" s="1"/>
  <c r="E89" i="1"/>
  <c r="B90" i="1"/>
  <c r="E90" i="1"/>
  <c r="C90" i="1"/>
  <c r="C89" i="1"/>
  <c r="I16" i="1" l="1"/>
  <c r="I17" i="1"/>
  <c r="J17" i="1"/>
  <c r="J16" i="1"/>
  <c r="K12" i="1"/>
  <c r="K16" i="1"/>
  <c r="K17" i="1"/>
  <c r="K13" i="1"/>
  <c r="K14" i="1"/>
  <c r="I12" i="1"/>
  <c r="J12" i="1"/>
  <c r="J14" i="1" s="1"/>
  <c r="D89" i="1"/>
  <c r="K15" i="1"/>
  <c r="I15" i="1"/>
  <c r="J15" i="1"/>
  <c r="B91" i="1"/>
  <c r="E91" i="1"/>
  <c r="C91" i="1"/>
  <c r="I13" i="1" l="1"/>
  <c r="I14" i="1"/>
  <c r="J13" i="1"/>
  <c r="D90" i="1"/>
  <c r="B92" i="1"/>
  <c r="E92" i="1"/>
  <c r="C92" i="1"/>
  <c r="D91" i="1" l="1"/>
  <c r="B93" i="1"/>
  <c r="E93" i="1"/>
  <c r="C93" i="1"/>
  <c r="D92" i="1" l="1"/>
  <c r="B94" i="1"/>
  <c r="E94" i="1"/>
  <c r="C94" i="1"/>
  <c r="D93" i="1" l="1"/>
  <c r="B95" i="1"/>
  <c r="E95" i="1"/>
  <c r="C95" i="1"/>
  <c r="D94" i="1" l="1"/>
  <c r="B96" i="1"/>
  <c r="E96" i="1"/>
  <c r="C96" i="1"/>
  <c r="D95" i="1" l="1"/>
  <c r="B97" i="1"/>
  <c r="E97" i="1"/>
  <c r="C97" i="1"/>
  <c r="D96" i="1" l="1"/>
  <c r="B98" i="1"/>
  <c r="E98" i="1"/>
  <c r="C98" i="1"/>
  <c r="D97" i="1" l="1"/>
  <c r="B99" i="1"/>
  <c r="E99" i="1"/>
  <c r="C99" i="1"/>
  <c r="D98" i="1" l="1"/>
  <c r="B100" i="1"/>
  <c r="E100" i="1"/>
  <c r="B101" i="1"/>
  <c r="E101" i="1"/>
  <c r="C101" i="1"/>
  <c r="C100" i="1"/>
  <c r="D99" i="1" l="1"/>
  <c r="D100" i="1"/>
  <c r="B102" i="1"/>
  <c r="E102" i="1"/>
  <c r="C102" i="1"/>
  <c r="D101" i="1" l="1"/>
  <c r="B103" i="1"/>
  <c r="E103" i="1"/>
  <c r="C103" i="1"/>
  <c r="D103" i="1" l="1"/>
  <c r="D102" i="1"/>
</calcChain>
</file>

<file path=xl/connections.xml><?xml version="1.0" encoding="utf-8"?>
<connections xmlns="http://schemas.openxmlformats.org/spreadsheetml/2006/main">
  <connection id="1" name="Connection" type="4" refreshedVersion="5" refreshOnLoad="1" saveData="1">
    <webPr firstRow="1" xl2000="1" url="http://localhost:7982/GeniusExcel/Default.aspX?svr=GeniusFS&amp;svc=VBSI&amp;op=CompanySharesD&amp;cols=2,3,4&amp;p0=[&quot;Symbol&quot;]&amp;pd1=[&quot;ValueDate&quot;]" htmlTables="1"/>
    <parameters count="2">
      <parameter name="Symbol" sqlType="12" parameterType="cell" refreshOnChange="1" cell="Sheet1!$C$1"/>
      <parameter name="ValueDate" sqlType="9" parameterType="cell" refreshOnChange="1" cell="Sheet1!$O$5"/>
    </parameters>
  </connection>
</connections>
</file>

<file path=xl/sharedStrings.xml><?xml version="1.0" encoding="utf-8"?>
<sst xmlns="http://schemas.openxmlformats.org/spreadsheetml/2006/main" count="80" uniqueCount="71">
  <si>
    <t>Symbol</t>
  </si>
  <si>
    <t>Divide By</t>
  </si>
  <si>
    <t>Financials Currency</t>
  </si>
  <si>
    <t>TODAY</t>
  </si>
  <si>
    <t>Multiples and other figures</t>
  </si>
  <si>
    <t>Stock Price</t>
  </si>
  <si>
    <t>Issued Shares</t>
  </si>
  <si>
    <t>Treasury Shares</t>
  </si>
  <si>
    <t>Outstanding Shares</t>
  </si>
  <si>
    <t>Market Cap</t>
  </si>
  <si>
    <t>NIBL</t>
  </si>
  <si>
    <t>Enterprise Value</t>
  </si>
  <si>
    <t>EV/EBITDA TTM</t>
  </si>
  <si>
    <t>EV/EBITDA FTM</t>
  </si>
  <si>
    <t>P/E TTM</t>
  </si>
  <si>
    <t>P/E FTM</t>
  </si>
  <si>
    <t>P/Sales TTM</t>
  </si>
  <si>
    <t>Keys</t>
  </si>
  <si>
    <t>Income Statement</t>
  </si>
  <si>
    <t>Y</t>
  </si>
  <si>
    <t>Q1</t>
  </si>
  <si>
    <t>Q2</t>
  </si>
  <si>
    <t>Q3</t>
  </si>
  <si>
    <t>Q4</t>
  </si>
  <si>
    <t>Revenues</t>
  </si>
  <si>
    <t>EBITDA</t>
  </si>
  <si>
    <t>EBIT</t>
  </si>
  <si>
    <t>NetFinancingCost</t>
  </si>
  <si>
    <t>Earnings</t>
  </si>
  <si>
    <t>NonCurrentLiabilities</t>
  </si>
  <si>
    <t>CurrentLiabilities</t>
  </si>
  <si>
    <t>HAGA</t>
  </si>
  <si>
    <t>NonCurrentAssets</t>
  </si>
  <si>
    <t>CurrentAssets</t>
  </si>
  <si>
    <t>TotalAssets</t>
  </si>
  <si>
    <t>Equity</t>
  </si>
  <si>
    <t>TotalLiabilities</t>
  </si>
  <si>
    <t>EquityAndLiabilities</t>
  </si>
  <si>
    <t>Balance Sheet</t>
  </si>
  <si>
    <t>*Designed for HAGA</t>
  </si>
  <si>
    <t>20 Largest Shareholders</t>
  </si>
  <si>
    <t>Owner</t>
  </si>
  <si>
    <t>Shares</t>
  </si>
  <si>
    <t>Percentage</t>
  </si>
  <si>
    <t>Lífeyrissjóður verslunarmanna</t>
  </si>
  <si>
    <t>Gildi - lífeyrissjóður</t>
  </si>
  <si>
    <t>Stefnir - ÍS 15</t>
  </si>
  <si>
    <t>Lífeyrissj.starfsm.rík. A-deild</t>
  </si>
  <si>
    <t>Stapi lífeyrissjóður</t>
  </si>
  <si>
    <t>Stafir lífeyrissjóður</t>
  </si>
  <si>
    <t>Stefnir - ÍS 5</t>
  </si>
  <si>
    <t>Sameinaði lífeyrissjóðurinn</t>
  </si>
  <si>
    <t>Festa - lífeyrissjóður</t>
  </si>
  <si>
    <t>Lífeyrissj.starfsm.rík. B-deild</t>
  </si>
  <si>
    <t>Íslandssjóðir - IS Hlutabréfasj</t>
  </si>
  <si>
    <t>Landsbréf - Úrvalsbréf</t>
  </si>
  <si>
    <t>A.C.S safnreikningur I</t>
  </si>
  <si>
    <t>Söfnunarsjóður lífeyrisréttinda</t>
  </si>
  <si>
    <t>Other</t>
  </si>
  <si>
    <t>Ownership changes</t>
  </si>
  <si>
    <t>Date</t>
  </si>
  <si>
    <t>Change</t>
  </si>
  <si>
    <t>Stock</t>
  </si>
  <si>
    <t>Arion banki hf.</t>
  </si>
  <si>
    <t>Júpíter - Innlend hlutabréf</t>
  </si>
  <si>
    <t>Íslandsbanki hf.</t>
  </si>
  <si>
    <t>Virðing safnreikningur</t>
  </si>
  <si>
    <t>Fagfjárfestasjóðurinn IHF</t>
  </si>
  <si>
    <t>Vátryggingafélag Íslands hf.</t>
  </si>
  <si>
    <t>TTM</t>
  </si>
  <si>
    <t>Latest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</si>
</sst>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80">
    <xf numFmtId="0" fontId="0" fillId="0" borderId="0" xfId="0"/>
    <xf numFmtId="0" fontId="1" fillId="0" borderId="0" xfId="0" applyFont="1"/>
    <xf numFmtId="0" fontId="0" fillId="2" borderId="1" xfId="0" applyFont="1" applyFill="1" applyBorder="1" applyAlignment="1">
      <alignment horizontal="right"/>
    </xf>
    <xf numFmtId="0" fontId="0" fillId="2" borderId="2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1" fillId="3" borderId="0" xfId="0" applyFont="1" applyFill="1" applyAlignment="1">
      <alignment horizontal="center"/>
    </xf>
    <xf numFmtId="0" fontId="2" fillId="0" borderId="4" xfId="0" applyFont="1" applyBorder="1" applyAlignment="1">
      <alignment horizontal="left"/>
    </xf>
    <xf numFmtId="14" fontId="3" fillId="0" borderId="4" xfId="0" applyNumberFormat="1" applyFont="1" applyBorder="1"/>
    <xf numFmtId="14" fontId="3" fillId="0" borderId="4" xfId="0" applyNumberFormat="1" applyFont="1" applyBorder="1" applyAlignment="1">
      <alignment horizontal="right"/>
    </xf>
    <xf numFmtId="14" fontId="3" fillId="3" borderId="4" xfId="0" applyNumberFormat="1" applyFont="1" applyFill="1" applyBorder="1" applyAlignment="1">
      <alignment horizontal="right"/>
    </xf>
    <xf numFmtId="0" fontId="4" fillId="0" borderId="0" xfId="0" applyFont="1"/>
    <xf numFmtId="0" fontId="4" fillId="3" borderId="0" xfId="0" applyFont="1" applyFill="1"/>
    <xf numFmtId="3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0" borderId="4" xfId="0" applyFont="1" applyBorder="1"/>
    <xf numFmtId="3" fontId="4" fillId="0" borderId="4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3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2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3" borderId="0" xfId="0" applyFont="1" applyFill="1"/>
    <xf numFmtId="3" fontId="3" fillId="3" borderId="0" xfId="0" applyNumberFormat="1" applyFont="1" applyFill="1"/>
    <xf numFmtId="3" fontId="3" fillId="3" borderId="5" xfId="0" applyNumberFormat="1" applyFont="1" applyFill="1" applyBorder="1"/>
    <xf numFmtId="3" fontId="3" fillId="3" borderId="0" xfId="0" applyNumberFormat="1" applyFont="1" applyFill="1" applyBorder="1"/>
    <xf numFmtId="3" fontId="3" fillId="3" borderId="6" xfId="0" applyNumberFormat="1" applyFont="1" applyFill="1" applyBorder="1"/>
    <xf numFmtId="3" fontId="3" fillId="3" borderId="9" xfId="0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3" fontId="4" fillId="0" borderId="0" xfId="0" applyNumberFormat="1" applyFont="1"/>
    <xf numFmtId="3" fontId="4" fillId="0" borderId="5" xfId="0" applyNumberFormat="1" applyFont="1" applyBorder="1"/>
    <xf numFmtId="3" fontId="4" fillId="0" borderId="0" xfId="0" applyNumberFormat="1" applyFont="1" applyBorder="1"/>
    <xf numFmtId="3" fontId="4" fillId="0" borderId="6" xfId="0" applyNumberFormat="1" applyFont="1" applyBorder="1"/>
    <xf numFmtId="3" fontId="3" fillId="3" borderId="0" xfId="0" applyNumberFormat="1" applyFont="1" applyFill="1" applyAlignment="1">
      <alignment horizontal="right"/>
    </xf>
    <xf numFmtId="3" fontId="4" fillId="3" borderId="0" xfId="0" applyNumberFormat="1" applyFont="1" applyFill="1"/>
    <xf numFmtId="3" fontId="4" fillId="3" borderId="5" xfId="0" applyNumberFormat="1" applyFont="1" applyFill="1" applyBorder="1"/>
    <xf numFmtId="3" fontId="4" fillId="3" borderId="0" xfId="0" applyNumberFormat="1" applyFont="1" applyFill="1" applyBorder="1"/>
    <xf numFmtId="3" fontId="4" fillId="3" borderId="6" xfId="0" applyNumberFormat="1" applyFont="1" applyFill="1" applyBorder="1"/>
    <xf numFmtId="0" fontId="0" fillId="0" borderId="4" xfId="0" applyBorder="1" applyAlignment="1">
      <alignment horizontal="left"/>
    </xf>
    <xf numFmtId="0" fontId="4" fillId="3" borderId="4" xfId="0" applyFont="1" applyFill="1" applyBorder="1"/>
    <xf numFmtId="3" fontId="4" fillId="3" borderId="4" xfId="0" applyNumberFormat="1" applyFont="1" applyFill="1" applyBorder="1"/>
    <xf numFmtId="3" fontId="4" fillId="3" borderId="7" xfId="0" applyNumberFormat="1" applyFont="1" applyFill="1" applyBorder="1"/>
    <xf numFmtId="3" fontId="4" fillId="3" borderId="8" xfId="0" applyNumberFormat="1" applyFont="1" applyFill="1" applyBorder="1"/>
    <xf numFmtId="3" fontId="4" fillId="3" borderId="4" xfId="0" applyNumberFormat="1" applyFont="1" applyFill="1" applyBorder="1" applyAlignment="1">
      <alignment horizontal="right"/>
    </xf>
    <xf numFmtId="0" fontId="0" fillId="0" borderId="9" xfId="0" applyBorder="1"/>
    <xf numFmtId="0" fontId="0" fillId="0" borderId="9" xfId="0" applyBorder="1" applyAlignment="1">
      <alignment horizontal="right"/>
    </xf>
    <xf numFmtId="0" fontId="0" fillId="0" borderId="4" xfId="0" applyBorder="1"/>
    <xf numFmtId="0" fontId="1" fillId="0" borderId="4" xfId="0" applyFont="1" applyBorder="1"/>
    <xf numFmtId="3" fontId="3" fillId="3" borderId="10" xfId="0" applyNumberFormat="1" applyFont="1" applyFill="1" applyBorder="1"/>
    <xf numFmtId="3" fontId="3" fillId="3" borderId="9" xfId="0" applyNumberFormat="1" applyFont="1" applyFill="1" applyBorder="1"/>
    <xf numFmtId="3" fontId="3" fillId="3" borderId="11" xfId="0" applyNumberFormat="1" applyFont="1" applyFill="1" applyBorder="1"/>
    <xf numFmtId="0" fontId="0" fillId="0" borderId="0" xfId="0" applyBorder="1" applyAlignment="1">
      <alignment horizontal="left"/>
    </xf>
    <xf numFmtId="0" fontId="3" fillId="3" borderId="4" xfId="0" applyFont="1" applyFill="1" applyBorder="1"/>
    <xf numFmtId="3" fontId="3" fillId="3" borderId="4" xfId="0" applyNumberFormat="1" applyFont="1" applyFill="1" applyBorder="1"/>
    <xf numFmtId="3" fontId="3" fillId="3" borderId="7" xfId="0" applyNumberFormat="1" applyFont="1" applyFill="1" applyBorder="1"/>
    <xf numFmtId="3" fontId="3" fillId="3" borderId="8" xfId="0" applyNumberFormat="1" applyFont="1" applyFill="1" applyBorder="1"/>
    <xf numFmtId="3" fontId="3" fillId="3" borderId="4" xfId="0" applyNumberFormat="1" applyFont="1" applyFill="1" applyBorder="1" applyAlignment="1">
      <alignment horizontal="right"/>
    </xf>
    <xf numFmtId="0" fontId="5" fillId="0" borderId="0" xfId="0" applyFont="1"/>
    <xf numFmtId="0" fontId="3" fillId="0" borderId="9" xfId="0" applyFont="1" applyBorder="1"/>
    <xf numFmtId="10" fontId="4" fillId="0" borderId="0" xfId="1" applyNumberFormat="1" applyFont="1"/>
    <xf numFmtId="10" fontId="4" fillId="0" borderId="4" xfId="0" applyNumberFormat="1" applyFont="1" applyBorder="1"/>
    <xf numFmtId="10" fontId="4" fillId="0" borderId="0" xfId="0" applyNumberFormat="1" applyFont="1"/>
    <xf numFmtId="0" fontId="3" fillId="2" borderId="12" xfId="0" applyFont="1" applyFill="1" applyBorder="1"/>
    <xf numFmtId="0" fontId="3" fillId="0" borderId="0" xfId="0" applyFont="1" applyAlignment="1">
      <alignment horizontal="right"/>
    </xf>
    <xf numFmtId="14" fontId="4" fillId="0" borderId="0" xfId="0" applyNumberFormat="1" applyFont="1"/>
    <xf numFmtId="0" fontId="1" fillId="0" borderId="4" xfId="0" applyFont="1" applyBorder="1" applyAlignment="1">
      <alignment horizontal="center"/>
    </xf>
    <xf numFmtId="3" fontId="4" fillId="3" borderId="0" xfId="0" applyNumberFormat="1" applyFont="1" applyFill="1" applyAlignment="1">
      <alignment horizontal="right"/>
    </xf>
    <xf numFmtId="164" fontId="4" fillId="3" borderId="0" xfId="0" applyNumberFormat="1" applyFont="1" applyFill="1" applyAlignment="1">
      <alignment horizontal="right"/>
    </xf>
    <xf numFmtId="164" fontId="4" fillId="3" borderId="4" xfId="0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Sheet1!$B$6</c:f>
              <c:strCache>
                <c:ptCount val="1"/>
                <c:pt idx="0">
                  <c:v>Stock Price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Sheet1!$I$5:$O$5</c:f>
              <c:numCache>
                <c:formatCode>m/d/yyyy</c:formatCode>
                <c:ptCount val="7"/>
                <c:pt idx="0">
                  <c:v>41882</c:v>
                </c:pt>
                <c:pt idx="1">
                  <c:v>41973</c:v>
                </c:pt>
                <c:pt idx="2">
                  <c:v>42063</c:v>
                </c:pt>
                <c:pt idx="3">
                  <c:v>42155</c:v>
                </c:pt>
                <c:pt idx="4">
                  <c:v>42247</c:v>
                </c:pt>
                <c:pt idx="5">
                  <c:v>42338</c:v>
                </c:pt>
                <c:pt idx="6">
                  <c:v>42382</c:v>
                </c:pt>
              </c:numCache>
            </c:numRef>
          </c:cat>
          <c:val>
            <c:numRef>
              <c:f>Sheet1!$I$6:$O$6</c:f>
              <c:numCache>
                <c:formatCode>General</c:formatCode>
                <c:ptCount val="7"/>
                <c:pt idx="0">
                  <c:v>45</c:v>
                </c:pt>
                <c:pt idx="1">
                  <c:v>42.2</c:v>
                </c:pt>
                <c:pt idx="2">
                  <c:v>44.1</c:v>
                </c:pt>
                <c:pt idx="3">
                  <c:v>40</c:v>
                </c:pt>
                <c:pt idx="4">
                  <c:v>39.75</c:v>
                </c:pt>
                <c:pt idx="5">
                  <c:v>44.1</c:v>
                </c:pt>
                <c:pt idx="6">
                  <c:v>48.05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140992"/>
        <c:axId val="513139424"/>
      </c:lineChart>
      <c:lineChart>
        <c:grouping val="standard"/>
        <c:varyColors val="0"/>
        <c:ser>
          <c:idx val="1"/>
          <c:order val="1"/>
          <c:tx>
            <c:strRef>
              <c:f>Sheet1!$B$15</c:f>
              <c:strCache>
                <c:ptCount val="1"/>
                <c:pt idx="0">
                  <c:v>P/E TTM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Sheet1!$C$5:$O$5</c:f>
              <c:numCache>
                <c:formatCode>m/d/yyyy</c:formatCode>
                <c:ptCount val="13"/>
                <c:pt idx="0">
                  <c:v>41333</c:v>
                </c:pt>
                <c:pt idx="1">
                  <c:v>41425</c:v>
                </c:pt>
                <c:pt idx="2">
                  <c:v>41517</c:v>
                </c:pt>
                <c:pt idx="3">
                  <c:v>41608</c:v>
                </c:pt>
                <c:pt idx="4">
                  <c:v>41698</c:v>
                </c:pt>
                <c:pt idx="5">
                  <c:v>41425</c:v>
                </c:pt>
                <c:pt idx="6">
                  <c:v>41882</c:v>
                </c:pt>
                <c:pt idx="7">
                  <c:v>41973</c:v>
                </c:pt>
                <c:pt idx="8">
                  <c:v>42063</c:v>
                </c:pt>
                <c:pt idx="9">
                  <c:v>42155</c:v>
                </c:pt>
                <c:pt idx="10">
                  <c:v>42247</c:v>
                </c:pt>
                <c:pt idx="11">
                  <c:v>42338</c:v>
                </c:pt>
                <c:pt idx="12">
                  <c:v>42382</c:v>
                </c:pt>
              </c:numCache>
            </c:numRef>
          </c:cat>
          <c:val>
            <c:numRef>
              <c:f>Sheet1!$I$15:$O$15</c:f>
              <c:numCache>
                <c:formatCode>#,##0.0</c:formatCode>
                <c:ptCount val="7"/>
                <c:pt idx="0">
                  <c:v>12.4309853460972</c:v>
                </c:pt>
                <c:pt idx="1">
                  <c:v>11.790631178748757</c:v>
                </c:pt>
                <c:pt idx="2">
                  <c:v>12.931463682647212</c:v>
                </c:pt>
                <c:pt idx="3">
                  <c:v>12.133892614555254</c:v>
                </c:pt>
                <c:pt idx="4">
                  <c:v>12.484507252680965</c:v>
                </c:pt>
                <c:pt idx="5">
                  <c:v>13.520870604292069</c:v>
                </c:pt>
                <c:pt idx="6">
                  <c:v>14.731923640277413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141384"/>
        <c:axId val="513137856"/>
      </c:lineChart>
      <c:dateAx>
        <c:axId val="51314099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513139424"/>
        <c:crosses val="autoZero"/>
        <c:auto val="0"/>
        <c:lblOffset val="100"/>
        <c:baseTimeUnit val="months"/>
      </c:dateAx>
      <c:valAx>
        <c:axId val="513139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513140992"/>
        <c:crosses val="autoZero"/>
        <c:crossBetween val="between"/>
      </c:valAx>
      <c:valAx>
        <c:axId val="513137856"/>
        <c:scaling>
          <c:orientation val="minMax"/>
        </c:scaling>
        <c:delete val="0"/>
        <c:axPos val="r"/>
        <c:numFmt formatCode="#,##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513141384"/>
        <c:crosses val="max"/>
        <c:crossBetween val="between"/>
      </c:valAx>
      <c:dateAx>
        <c:axId val="5131413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5131378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Ownership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2"/>
          <c:order val="1"/>
          <c:tx>
            <c:strRef>
              <c:f>Sheet1!$E$88</c:f>
              <c:strCache>
                <c:ptCount val="1"/>
                <c:pt idx="0">
                  <c:v>Stock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Sheet1!$B$89:$B$103</c:f>
              <c:numCache>
                <c:formatCode>m/d/yyyy</c:formatCode>
                <c:ptCount val="15"/>
                <c:pt idx="0">
                  <c:v>42376</c:v>
                </c:pt>
                <c:pt idx="1">
                  <c:v>42369</c:v>
                </c:pt>
                <c:pt idx="2">
                  <c:v>42361</c:v>
                </c:pt>
                <c:pt idx="3">
                  <c:v>42355</c:v>
                </c:pt>
                <c:pt idx="4">
                  <c:v>42348</c:v>
                </c:pt>
                <c:pt idx="5">
                  <c:v>42341</c:v>
                </c:pt>
                <c:pt idx="6">
                  <c:v>42334</c:v>
                </c:pt>
                <c:pt idx="7">
                  <c:v>42327</c:v>
                </c:pt>
                <c:pt idx="8">
                  <c:v>42320</c:v>
                </c:pt>
                <c:pt idx="9">
                  <c:v>42313</c:v>
                </c:pt>
                <c:pt idx="10">
                  <c:v>42306</c:v>
                </c:pt>
                <c:pt idx="11">
                  <c:v>42299</c:v>
                </c:pt>
                <c:pt idx="12">
                  <c:v>42292</c:v>
                </c:pt>
                <c:pt idx="13">
                  <c:v>42285</c:v>
                </c:pt>
                <c:pt idx="14">
                  <c:v>42278</c:v>
                </c:pt>
              </c:numCache>
            </c:numRef>
          </c:cat>
          <c:val>
            <c:numRef>
              <c:f>Sheet1!$E$89:$E$103</c:f>
              <c:numCache>
                <c:formatCode>General</c:formatCode>
                <c:ptCount val="15"/>
                <c:pt idx="0">
                  <c:v>46.1</c:v>
                </c:pt>
                <c:pt idx="1">
                  <c:v>44.8</c:v>
                </c:pt>
                <c:pt idx="2">
                  <c:v>44.55</c:v>
                </c:pt>
                <c:pt idx="3">
                  <c:v>45.1</c:v>
                </c:pt>
                <c:pt idx="4">
                  <c:v>45.75</c:v>
                </c:pt>
                <c:pt idx="5">
                  <c:v>45.5</c:v>
                </c:pt>
                <c:pt idx="6">
                  <c:v>44.1</c:v>
                </c:pt>
                <c:pt idx="7">
                  <c:v>44</c:v>
                </c:pt>
                <c:pt idx="8">
                  <c:v>44.65</c:v>
                </c:pt>
                <c:pt idx="9">
                  <c:v>44.3</c:v>
                </c:pt>
                <c:pt idx="10">
                  <c:v>45</c:v>
                </c:pt>
                <c:pt idx="11">
                  <c:v>43</c:v>
                </c:pt>
                <c:pt idx="12">
                  <c:v>42.9</c:v>
                </c:pt>
                <c:pt idx="13">
                  <c:v>43</c:v>
                </c:pt>
                <c:pt idx="14">
                  <c:v>42.35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136288"/>
        <c:axId val="513142168"/>
      </c:lineChart>
      <c:lineChart>
        <c:grouping val="standard"/>
        <c:varyColors val="0"/>
        <c:ser>
          <c:idx val="0"/>
          <c:order val="0"/>
          <c:tx>
            <c:strRef>
              <c:f>Sheet1!$C$88</c:f>
              <c:strCache>
                <c:ptCount val="1"/>
                <c:pt idx="0">
                  <c:v>Shares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Sheet1!$B$89:$B$103</c:f>
              <c:numCache>
                <c:formatCode>m/d/yyyy</c:formatCode>
                <c:ptCount val="15"/>
                <c:pt idx="0">
                  <c:v>42376</c:v>
                </c:pt>
                <c:pt idx="1">
                  <c:v>42369</c:v>
                </c:pt>
                <c:pt idx="2">
                  <c:v>42361</c:v>
                </c:pt>
                <c:pt idx="3">
                  <c:v>42355</c:v>
                </c:pt>
                <c:pt idx="4">
                  <c:v>42348</c:v>
                </c:pt>
                <c:pt idx="5">
                  <c:v>42341</c:v>
                </c:pt>
                <c:pt idx="6">
                  <c:v>42334</c:v>
                </c:pt>
                <c:pt idx="7">
                  <c:v>42327</c:v>
                </c:pt>
                <c:pt idx="8">
                  <c:v>42320</c:v>
                </c:pt>
                <c:pt idx="9">
                  <c:v>42313</c:v>
                </c:pt>
                <c:pt idx="10">
                  <c:v>42306</c:v>
                </c:pt>
                <c:pt idx="11">
                  <c:v>42299</c:v>
                </c:pt>
                <c:pt idx="12">
                  <c:v>42292</c:v>
                </c:pt>
                <c:pt idx="13">
                  <c:v>42285</c:v>
                </c:pt>
                <c:pt idx="14">
                  <c:v>42278</c:v>
                </c:pt>
              </c:numCache>
            </c:numRef>
          </c:cat>
          <c:val>
            <c:numRef>
              <c:f>Sheet1!$C$89:$C$103</c:f>
              <c:numCache>
                <c:formatCode>#,##0</c:formatCode>
                <c:ptCount val="15"/>
                <c:pt idx="0">
                  <c:v>103600000</c:v>
                </c:pt>
                <c:pt idx="1">
                  <c:v>103600000</c:v>
                </c:pt>
                <c:pt idx="2">
                  <c:v>103600000</c:v>
                </c:pt>
                <c:pt idx="3">
                  <c:v>103600000</c:v>
                </c:pt>
                <c:pt idx="4">
                  <c:v>103600000</c:v>
                </c:pt>
                <c:pt idx="5">
                  <c:v>105000000</c:v>
                </c:pt>
                <c:pt idx="6">
                  <c:v>105000000</c:v>
                </c:pt>
                <c:pt idx="7">
                  <c:v>105000000</c:v>
                </c:pt>
                <c:pt idx="8">
                  <c:v>105000000</c:v>
                </c:pt>
                <c:pt idx="9">
                  <c:v>105000000</c:v>
                </c:pt>
                <c:pt idx="10">
                  <c:v>114100000</c:v>
                </c:pt>
                <c:pt idx="11">
                  <c:v>114100000</c:v>
                </c:pt>
                <c:pt idx="12">
                  <c:v>114100000</c:v>
                </c:pt>
                <c:pt idx="13">
                  <c:v>114100000</c:v>
                </c:pt>
                <c:pt idx="14">
                  <c:v>114100000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137072"/>
        <c:axId val="513137464"/>
      </c:lineChart>
      <c:dateAx>
        <c:axId val="51313628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513142168"/>
        <c:crosses val="autoZero"/>
        <c:auto val="1"/>
        <c:lblOffset val="100"/>
        <c:baseTimeUnit val="days"/>
      </c:dateAx>
      <c:valAx>
        <c:axId val="513142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513136288"/>
        <c:crosses val="autoZero"/>
        <c:crossBetween val="between"/>
      </c:valAx>
      <c:valAx>
        <c:axId val="51313746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513137072"/>
        <c:crosses val="max"/>
        <c:crossBetween val="between"/>
      </c:valAx>
      <c:dateAx>
        <c:axId val="51313707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5131374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Sheet1!$B$63:$B$83</c:f>
              <c:strCache>
                <c:ptCount val="21"/>
                <c:pt idx="0">
                  <c:v>Gildi - lífeyrissjóður</c:v>
                </c:pt>
                <c:pt idx="1">
                  <c:v>Stefnir - ÍS 15</c:v>
                </c:pt>
                <c:pt idx="2">
                  <c:v>Lífeyrissj.starfsm.rík. A-deild</c:v>
                </c:pt>
                <c:pt idx="3">
                  <c:v>Lífeyrissjóður verslunarmanna</c:v>
                </c:pt>
                <c:pt idx="4">
                  <c:v>Stapi lífeyrissjóður</c:v>
                </c:pt>
                <c:pt idx="5">
                  <c:v>Lífeyrissj.starfsm.rík. B-deild</c:v>
                </c:pt>
                <c:pt idx="6">
                  <c:v>Festa - lífeyrissjóður</c:v>
                </c:pt>
                <c:pt idx="7">
                  <c:v>Sameinaði lífeyrissjóðurinn</c:v>
                </c:pt>
                <c:pt idx="8">
                  <c:v>Júpíter - Innlend hlutabréf</c:v>
                </c:pt>
                <c:pt idx="9">
                  <c:v>Íslandssjóðir - IS Hlutabréfasj</c:v>
                </c:pt>
                <c:pt idx="10">
                  <c:v>Stafir lífeyrissjóður</c:v>
                </c:pt>
                <c:pt idx="11">
                  <c:v>Söfnunarsjóður lífeyrisréttinda</c:v>
                </c:pt>
                <c:pt idx="12">
                  <c:v>Landsbréf - Úrvalsbréf</c:v>
                </c:pt>
                <c:pt idx="13">
                  <c:v>Fagfjárfestasjóðurinn IHF</c:v>
                </c:pt>
                <c:pt idx="14">
                  <c:v>Arion banki hf.</c:v>
                </c:pt>
                <c:pt idx="15">
                  <c:v>Virðing safnreikningur</c:v>
                </c:pt>
                <c:pt idx="16">
                  <c:v>Íslandsbanki hf.</c:v>
                </c:pt>
                <c:pt idx="17">
                  <c:v>Stefnir - ÍS 5</c:v>
                </c:pt>
                <c:pt idx="18">
                  <c:v>Vátryggingafélag Íslands hf.</c:v>
                </c:pt>
                <c:pt idx="19">
                  <c:v>A.C.S safnreikningur I</c:v>
                </c:pt>
                <c:pt idx="20">
                  <c:v>Other</c:v>
                </c:pt>
              </c:strCache>
            </c:strRef>
          </c:cat>
          <c:val>
            <c:numRef>
              <c:f>Sheet1!$D$63:$D$83</c:f>
              <c:numCache>
                <c:formatCode>0.00%</c:formatCode>
                <c:ptCount val="21"/>
                <c:pt idx="0">
                  <c:v>0.11358</c:v>
                </c:pt>
                <c:pt idx="1">
                  <c:v>8.9340000000000003E-2</c:v>
                </c:pt>
                <c:pt idx="2">
                  <c:v>8.8429999999999995E-2</c:v>
                </c:pt>
                <c:pt idx="3">
                  <c:v>8.1820000000000004E-2</c:v>
                </c:pt>
                <c:pt idx="4">
                  <c:v>5.2679999999999998E-2</c:v>
                </c:pt>
                <c:pt idx="5">
                  <c:v>3.2219999999999999E-2</c:v>
                </c:pt>
                <c:pt idx="6">
                  <c:v>3.1289999999999998E-2</c:v>
                </c:pt>
                <c:pt idx="7">
                  <c:v>2.7230000000000001E-2</c:v>
                </c:pt>
                <c:pt idx="8">
                  <c:v>2.6540000000000001E-2</c:v>
                </c:pt>
                <c:pt idx="9">
                  <c:v>2.5479999999999999E-2</c:v>
                </c:pt>
                <c:pt idx="10">
                  <c:v>2.35E-2</c:v>
                </c:pt>
                <c:pt idx="11">
                  <c:v>2.3E-2</c:v>
                </c:pt>
                <c:pt idx="12">
                  <c:v>2.1659999999999999E-2</c:v>
                </c:pt>
                <c:pt idx="13">
                  <c:v>2.087E-2</c:v>
                </c:pt>
                <c:pt idx="14">
                  <c:v>2.0490000000000001E-2</c:v>
                </c:pt>
                <c:pt idx="15">
                  <c:v>1.609E-2</c:v>
                </c:pt>
                <c:pt idx="16">
                  <c:v>1.558E-2</c:v>
                </c:pt>
                <c:pt idx="17">
                  <c:v>1.549E-2</c:v>
                </c:pt>
                <c:pt idx="18">
                  <c:v>1.47E-2</c:v>
                </c:pt>
                <c:pt idx="19">
                  <c:v>1.4069999999999999E-2</c:v>
                </c:pt>
                <c:pt idx="20">
                  <c:v>0.24593999999999983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158612</xdr:colOff>
      <xdr:row>5</xdr:row>
      <xdr:rowOff>16151</xdr:rowOff>
    </xdr:from>
    <xdr:to>
      <xdr:col>21</xdr:col>
      <xdr:colOff>291962</xdr:colOff>
      <xdr:row>21</xdr:row>
      <xdr:rowOff>73301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519112</xdr:colOff>
      <xdr:row>87</xdr:row>
      <xdr:rowOff>180975</xdr:rowOff>
    </xdr:from>
    <xdr:to>
      <xdr:col>15</xdr:col>
      <xdr:colOff>290512</xdr:colOff>
      <xdr:row>102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397566</xdr:colOff>
      <xdr:row>61</xdr:row>
      <xdr:rowOff>161924</xdr:rowOff>
    </xdr:from>
    <xdr:to>
      <xdr:col>13</xdr:col>
      <xdr:colOff>419100</xdr:colOff>
      <xdr:row>82</xdr:row>
      <xdr:rowOff>114299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r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H5">
            <v>41729</v>
          </cell>
        </row>
        <row r="53">
          <cell r="B53" t="str">
            <v>Eyrir Invest hf.</v>
          </cell>
        </row>
        <row r="54">
          <cell r="B54" t="str">
            <v>Lífeyrissjóður verslunarmanna</v>
          </cell>
        </row>
        <row r="55">
          <cell r="B55" t="str">
            <v>Gildi - lífeyrissjóður</v>
          </cell>
        </row>
        <row r="56">
          <cell r="B56" t="str">
            <v>Stefnir - ÍS 15</v>
          </cell>
        </row>
        <row r="57">
          <cell r="B57" t="str">
            <v>Lífeyrissj.starfsm.rík. A-deild</v>
          </cell>
        </row>
        <row r="58">
          <cell r="B58" t="str">
            <v>Stapi lífeyrissjóður</v>
          </cell>
        </row>
        <row r="59">
          <cell r="B59" t="str">
            <v>Stafir lífeyrissjóður</v>
          </cell>
        </row>
        <row r="60">
          <cell r="B60" t="str">
            <v>Grundtvig Invest ApS</v>
          </cell>
        </row>
        <row r="61">
          <cell r="B61" t="str">
            <v>Marel hf.</v>
          </cell>
        </row>
        <row r="62">
          <cell r="B62" t="str">
            <v>Stefnir - ÍS 5</v>
          </cell>
        </row>
        <row r="63">
          <cell r="B63" t="str">
            <v>Sameinaði lífeyrissjóðurinn</v>
          </cell>
        </row>
        <row r="64">
          <cell r="B64" t="str">
            <v>Festa - lífeyrissjóður</v>
          </cell>
        </row>
        <row r="65">
          <cell r="B65" t="str">
            <v>Lífeyrissj.starfsm.rík. B-deild</v>
          </cell>
        </row>
        <row r="66">
          <cell r="B66" t="str">
            <v>Íslandssjóðir - IS Hlutabréfasj</v>
          </cell>
        </row>
        <row r="67">
          <cell r="B67" t="str">
            <v>Landsbréf Öndvegisbréf</v>
          </cell>
        </row>
        <row r="68">
          <cell r="B68" t="str">
            <v>Landsbréf - Úrvalsbréf</v>
          </cell>
        </row>
        <row r="69">
          <cell r="B69" t="str">
            <v>Landsbankinn hf.</v>
          </cell>
        </row>
        <row r="70">
          <cell r="B70" t="str">
            <v>A.C.S safnreikningur I</v>
          </cell>
        </row>
        <row r="71">
          <cell r="B71" t="str">
            <v>Söfnunarsjóður lífeyrisréttinda</v>
          </cell>
        </row>
        <row r="72">
          <cell r="B72" t="str">
            <v>Súsanna Sigurðardóttir</v>
          </cell>
        </row>
      </sheetData>
    </sheetDataSet>
  </externalBook>
</externalLink>
</file>

<file path=xl/queryTables/queryTable1.xml><?xml version="1.0" encoding="utf-8"?>
<queryTable xmlns="http://schemas.openxmlformats.org/spreadsheetml/2006/main" name="GeniusQuery_1" backgroundRefresh="0" refreshOnLoad="1" fillFormulas="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3"/>
  <sheetViews>
    <sheetView showGridLines="0" tabSelected="1" topLeftCell="B1" zoomScaleNormal="100" workbookViewId="0">
      <pane xSplit="1" ySplit="4" topLeftCell="C61" activePane="bottomRight" state="frozen"/>
      <selection activeCell="B1" sqref="B1"/>
      <selection pane="topRight" activeCell="C1" sqref="C1"/>
      <selection pane="bottomLeft" activeCell="B5" sqref="B5"/>
      <selection pane="bottomRight" activeCell="O1" sqref="O1"/>
    </sheetView>
  </sheetViews>
  <sheetFormatPr defaultRowHeight="15" outlineLevelRow="1" outlineLevelCol="1" x14ac:dyDescent="0.25"/>
  <cols>
    <col min="1" max="1" width="22.7109375" hidden="1" customWidth="1" outlineLevel="1"/>
    <col min="2" max="2" width="28.140625" bestFit="1" customWidth="1" collapsed="1"/>
    <col min="3" max="3" width="9.7109375" customWidth="1"/>
    <col min="4" max="4" width="9.140625" customWidth="1"/>
    <col min="5" max="15" width="8.85546875" customWidth="1"/>
  </cols>
  <sheetData>
    <row r="1" spans="2:15" x14ac:dyDescent="0.25">
      <c r="B1" s="1" t="s">
        <v>0</v>
      </c>
      <c r="C1" s="2" t="s">
        <v>31</v>
      </c>
      <c r="D1" s="68" t="s">
        <v>39</v>
      </c>
    </row>
    <row r="2" spans="2:15" x14ac:dyDescent="0.25">
      <c r="B2" s="1" t="s">
        <v>1</v>
      </c>
      <c r="C2" s="3">
        <v>1000000</v>
      </c>
    </row>
    <row r="3" spans="2:15" x14ac:dyDescent="0.25">
      <c r="B3" s="1" t="s">
        <v>2</v>
      </c>
      <c r="C3" s="4" t="str">
        <f>_xll.FinancialsCurrency(C1)</f>
        <v>ISK</v>
      </c>
    </row>
    <row r="4" spans="2:15" x14ac:dyDescent="0.25">
      <c r="B4" s="5"/>
      <c r="O4" s="6" t="s">
        <v>3</v>
      </c>
    </row>
    <row r="5" spans="2:15" ht="15.75" x14ac:dyDescent="0.25">
      <c r="B5" s="7" t="s">
        <v>4</v>
      </c>
      <c r="C5" s="8">
        <v>41333</v>
      </c>
      <c r="D5" s="9">
        <v>41425</v>
      </c>
      <c r="E5" s="9">
        <v>41517</v>
      </c>
      <c r="F5" s="9">
        <v>41608</v>
      </c>
      <c r="G5" s="9">
        <v>41698</v>
      </c>
      <c r="H5" s="9">
        <v>41425</v>
      </c>
      <c r="I5" s="9">
        <v>41882</v>
      </c>
      <c r="J5" s="9">
        <v>41973</v>
      </c>
      <c r="K5" s="9">
        <v>42063</v>
      </c>
      <c r="L5" s="9">
        <v>42155</v>
      </c>
      <c r="M5" s="9">
        <v>42247</v>
      </c>
      <c r="N5" s="9">
        <v>42338</v>
      </c>
      <c r="O5" s="10">
        <f>_xll.GeniusToday()</f>
        <v>42382</v>
      </c>
    </row>
    <row r="6" spans="2:15" x14ac:dyDescent="0.25">
      <c r="B6" s="11" t="s">
        <v>5</v>
      </c>
      <c r="C6" s="11">
        <f>_xll.LastPriceD($C$1,C$5)</f>
        <v>26.7</v>
      </c>
      <c r="D6" s="11">
        <f>_xll.LastPriceD($C$1,D$5)</f>
        <v>29.1</v>
      </c>
      <c r="E6" s="11">
        <f>_xll.LastPriceD($C$1,E$5)</f>
        <v>34.200000000000003</v>
      </c>
      <c r="F6" s="11">
        <f>_xll.LastPriceD($C$1,F$5)</f>
        <v>37.299999999999997</v>
      </c>
      <c r="G6" s="11">
        <f>_xll.LastPriceD($C$1,G$5)</f>
        <v>41.2</v>
      </c>
      <c r="H6" s="11">
        <f>_xll.LastPriceD($C$1,H$5)</f>
        <v>29.1</v>
      </c>
      <c r="I6" s="11">
        <f>_xll.LastPriceD($C$1,I$5)</f>
        <v>45</v>
      </c>
      <c r="J6" s="11">
        <f>_xll.LastPriceD($C$1,J$5)</f>
        <v>42.2</v>
      </c>
      <c r="K6" s="11">
        <f>_xll.LastPriceD($C$1,K$5)</f>
        <v>44.1</v>
      </c>
      <c r="L6" s="11">
        <f>_xll.LastPriceD($C$1,L$5)</f>
        <v>40</v>
      </c>
      <c r="M6" s="11">
        <f>_xll.LastPriceD($C$1,M$5)</f>
        <v>39.75</v>
      </c>
      <c r="N6" s="11">
        <f>_xll.LastPriceD($C$1,N$5)</f>
        <v>44.1</v>
      </c>
      <c r="O6" s="12">
        <f>_xll.LastPriceD($C$1,O$5)</f>
        <v>48.05</v>
      </c>
    </row>
    <row r="7" spans="2:15" outlineLevel="1" x14ac:dyDescent="0.25">
      <c r="B7" s="11" t="s">
        <v>6</v>
      </c>
      <c r="C7" s="11"/>
      <c r="D7" s="13"/>
      <c r="E7" s="13"/>
      <c r="F7" s="13"/>
      <c r="G7" s="13"/>
      <c r="H7" s="13"/>
      <c r="I7" s="13">
        <f>_xll.CNumberOfSharesD($C$1,_xll.CompanyOwnerLatestDateD($C$1,I$5))/$C$2</f>
        <v>1171.5021899999999</v>
      </c>
      <c r="J7" s="13">
        <f>_xll.CNumberOfSharesD($C$1,_xll.CompanyOwnerLatestDateD($C$1,J$5))/$C$2</f>
        <v>1171.5021899999999</v>
      </c>
      <c r="K7" s="13">
        <f>_xll.CNumberOfSharesD($C$1,_xll.CompanyOwnerLatestDateD($C$1,K$5))/$C$2</f>
        <v>1171.5021899999999</v>
      </c>
      <c r="L7" s="13">
        <f>_xll.CNumberOfSharesD($C$1,_xll.CompanyOwnerLatestDateD($C$1,L$5))/$C$2</f>
        <v>1171.5021899999999</v>
      </c>
      <c r="M7" s="13">
        <f>_xll.CNumberOfSharesD($C$1,_xll.CompanyOwnerLatestDateD($C$1,M$5))/$C$2</f>
        <v>1171.5021899999999</v>
      </c>
      <c r="N7" s="13">
        <f>_xll.CNumberOfSharesD($C$1,_xll.CompanyOwnerLatestDateD($C$1,N$5))/$C$2</f>
        <v>1171.5021899999999</v>
      </c>
      <c r="O7" s="77">
        <f>_xll.CNumberOfSharesD($C$1,_xll.CompanyOwnerLatestDateD($C$1,O$5))/$C$2</f>
        <v>1171.5021899999999</v>
      </c>
    </row>
    <row r="8" spans="2:15" outlineLevel="1" x14ac:dyDescent="0.25">
      <c r="B8" s="11" t="s">
        <v>7</v>
      </c>
      <c r="C8" s="11"/>
      <c r="D8" s="13"/>
      <c r="E8" s="13"/>
      <c r="F8" s="13"/>
      <c r="G8" s="13"/>
      <c r="H8" s="13"/>
      <c r="I8" s="13">
        <f>IFERROR(_xll.OwnSharesD($C$1,_xll.CompanyOwnerLatestDateD($C$1,I$5))/$C$2,0)</f>
        <v>46.083649999999999</v>
      </c>
      <c r="J8" s="13">
        <f>IFERROR(_xll.OwnSharesD($C$1,_xll.CompanyOwnerLatestDateD($C$1,J$5))/$C$2,0)</f>
        <v>46.083649999999999</v>
      </c>
      <c r="K8" s="13">
        <f>IFERROR(_xll.OwnSharesD($C$1,_xll.CompanyOwnerLatestDateD($C$1,K$5))/$C$2,0)</f>
        <v>46.083649999999999</v>
      </c>
      <c r="L8" s="13">
        <f>IFERROR(_xll.OwnSharesD($C$1,_xll.CompanyOwnerLatestDateD($C$1,L$5))/$C$2,0)</f>
        <v>46.083649999999999</v>
      </c>
      <c r="M8" s="13">
        <f>IFERROR(_xll.OwnSharesD($C$1,_xll.CompanyOwnerLatestDateD($C$1,M$5))/$C$2,0)</f>
        <v>0</v>
      </c>
      <c r="N8" s="13">
        <f>IFERROR(_xll.OwnSharesD($C$1,_xll.CompanyOwnerLatestDateD($C$1,N$5))/$C$2,0)</f>
        <v>0</v>
      </c>
      <c r="O8" s="77">
        <f>IFERROR(_xll.OwnSharesD($C$1,_xll.CompanyOwnerLatestDateD($C$1,O$5))/$C$2,0)</f>
        <v>0</v>
      </c>
    </row>
    <row r="9" spans="2:15" x14ac:dyDescent="0.25">
      <c r="B9" s="11" t="s">
        <v>8</v>
      </c>
      <c r="C9" s="11"/>
      <c r="D9" s="13"/>
      <c r="E9" s="13"/>
      <c r="F9" s="13"/>
      <c r="G9" s="13"/>
      <c r="H9" s="13"/>
      <c r="I9" s="13">
        <f t="shared" ref="I9:K9" si="0">I7-I8</f>
        <v>1125.4185399999999</v>
      </c>
      <c r="J9" s="13">
        <f t="shared" si="0"/>
        <v>1125.4185399999999</v>
      </c>
      <c r="K9" s="13">
        <f t="shared" si="0"/>
        <v>1125.4185399999999</v>
      </c>
      <c r="L9" s="13">
        <f t="shared" ref="L9:O9" si="1">L7-L8</f>
        <v>1125.4185399999999</v>
      </c>
      <c r="M9" s="13">
        <f t="shared" si="1"/>
        <v>1171.5021899999999</v>
      </c>
      <c r="N9" s="13">
        <f t="shared" si="1"/>
        <v>1171.5021899999999</v>
      </c>
      <c r="O9" s="77">
        <f t="shared" si="1"/>
        <v>1171.5021899999999</v>
      </c>
    </row>
    <row r="10" spans="2:15" x14ac:dyDescent="0.25">
      <c r="B10" s="11" t="s">
        <v>9</v>
      </c>
      <c r="C10" s="11"/>
      <c r="D10" s="13"/>
      <c r="E10" s="13"/>
      <c r="F10" s="13"/>
      <c r="G10" s="13"/>
      <c r="H10" s="13"/>
      <c r="I10" s="13">
        <f t="shared" ref="I10:K10" si="2">I9*I6</f>
        <v>50643.834299999995</v>
      </c>
      <c r="J10" s="13">
        <f t="shared" si="2"/>
        <v>47492.662387999997</v>
      </c>
      <c r="K10" s="13">
        <f t="shared" si="2"/>
        <v>49630.957613999999</v>
      </c>
      <c r="L10" s="13">
        <f t="shared" ref="L10:O10" si="3">L9*L6</f>
        <v>45016.741599999994</v>
      </c>
      <c r="M10" s="13">
        <f t="shared" si="3"/>
        <v>46567.212052499999</v>
      </c>
      <c r="N10" s="13">
        <f t="shared" si="3"/>
        <v>51663.246578999999</v>
      </c>
      <c r="O10" s="77">
        <f t="shared" si="3"/>
        <v>56290.680229499994</v>
      </c>
    </row>
    <row r="11" spans="2:15" outlineLevel="1" x14ac:dyDescent="0.25">
      <c r="B11" s="11" t="s">
        <v>10</v>
      </c>
      <c r="C11" s="13">
        <f t="shared" ref="C11:K11" si="4">IFERROR(C49+C54-C42,"-")</f>
        <v>5995</v>
      </c>
      <c r="D11" s="13">
        <f t="shared" si="4"/>
        <v>5143</v>
      </c>
      <c r="E11" s="13">
        <f t="shared" si="4"/>
        <v>4268</v>
      </c>
      <c r="F11" s="13">
        <f t="shared" si="4"/>
        <v>4474</v>
      </c>
      <c r="G11" s="13">
        <f t="shared" si="4"/>
        <v>2680</v>
      </c>
      <c r="H11" s="13">
        <f t="shared" si="4"/>
        <v>1682</v>
      </c>
      <c r="I11" s="13">
        <f t="shared" si="4"/>
        <v>1488</v>
      </c>
      <c r="J11" s="13">
        <f t="shared" si="4"/>
        <v>1425</v>
      </c>
      <c r="K11" s="13">
        <f t="shared" si="4"/>
        <v>1640</v>
      </c>
      <c r="L11" s="13">
        <f t="shared" ref="L11:O11" si="5">IFERROR(L49+L54-L42,"-")</f>
        <v>-12</v>
      </c>
      <c r="M11" s="13">
        <f t="shared" si="5"/>
        <v>2139</v>
      </c>
      <c r="N11" s="13">
        <f>IFERROR(N49+N54-N42,"-")</f>
        <v>1705</v>
      </c>
      <c r="O11" s="77">
        <f t="shared" si="5"/>
        <v>1705</v>
      </c>
    </row>
    <row r="12" spans="2:15" x14ac:dyDescent="0.25">
      <c r="B12" s="11" t="s">
        <v>11</v>
      </c>
      <c r="C12" s="11"/>
      <c r="D12" s="13"/>
      <c r="E12" s="13"/>
      <c r="F12" s="13"/>
      <c r="G12" s="13"/>
      <c r="H12" s="13"/>
      <c r="I12" s="13">
        <f t="shared" ref="I12:O12" si="6">IFERROR(I10-I11,"-")</f>
        <v>49155.834299999995</v>
      </c>
      <c r="J12" s="13">
        <f t="shared" si="6"/>
        <v>46067.662387999997</v>
      </c>
      <c r="K12" s="13">
        <f t="shared" si="6"/>
        <v>47990.957613999999</v>
      </c>
      <c r="L12" s="13">
        <f t="shared" si="6"/>
        <v>45028.741599999994</v>
      </c>
      <c r="M12" s="13">
        <f t="shared" si="6"/>
        <v>44428.212052499999</v>
      </c>
      <c r="N12" s="13">
        <f t="shared" si="6"/>
        <v>49958.246578999999</v>
      </c>
      <c r="O12" s="77">
        <f t="shared" si="6"/>
        <v>54585.680229499994</v>
      </c>
    </row>
    <row r="13" spans="2:15" x14ac:dyDescent="0.25">
      <c r="B13" s="11" t="s">
        <v>12</v>
      </c>
      <c r="C13" s="11"/>
      <c r="D13" s="13"/>
      <c r="E13" s="13"/>
      <c r="F13" s="13"/>
      <c r="G13" s="13"/>
      <c r="H13" s="14"/>
      <c r="I13" s="14">
        <f t="shared" ref="I13:O13" si="7">IFERROR(I12/SUM(F26:I26),"-")</f>
        <v>8.3286740596407984</v>
      </c>
      <c r="J13" s="14">
        <f t="shared" si="7"/>
        <v>7.9263011679284237</v>
      </c>
      <c r="K13" s="14">
        <f t="shared" si="7"/>
        <v>8.5453984355413102</v>
      </c>
      <c r="L13" s="14">
        <f t="shared" si="7"/>
        <v>8.3032899870920147</v>
      </c>
      <c r="M13" s="14">
        <f t="shared" si="7"/>
        <v>8.1654497431538324</v>
      </c>
      <c r="N13" s="14">
        <f t="shared" si="7"/>
        <v>8.9675545824807035</v>
      </c>
      <c r="O13" s="78">
        <f>IFERROR(O12/SUM(O26),"-")</f>
        <v>9.7981834912044512</v>
      </c>
    </row>
    <row r="14" spans="2:15" x14ac:dyDescent="0.25">
      <c r="B14" s="11" t="s">
        <v>13</v>
      </c>
      <c r="C14" s="11"/>
      <c r="D14" s="13"/>
      <c r="E14" s="13"/>
      <c r="F14" s="13"/>
      <c r="G14" s="14"/>
      <c r="H14" s="14"/>
      <c r="I14" s="14">
        <f t="shared" ref="I14:O14" si="8">IF(ISNUMBER(L26),I12/SUM(I26:L26),"-")</f>
        <v>9.0643249677300375</v>
      </c>
      <c r="J14" s="14">
        <f t="shared" si="8"/>
        <v>8.4667639014886955</v>
      </c>
      <c r="K14" s="14">
        <f t="shared" si="8"/>
        <v>8.6144242710464898</v>
      </c>
      <c r="L14" s="14">
        <f t="shared" si="8"/>
        <v>4.636402553542009</v>
      </c>
      <c r="M14" s="14" t="str">
        <f t="shared" si="8"/>
        <v>-</v>
      </c>
      <c r="N14" s="14" t="str">
        <f t="shared" si="8"/>
        <v>-</v>
      </c>
      <c r="O14" s="78" t="str">
        <f>IF(ISNUMBER(R26),O12/SUM(O26:R26),"-")</f>
        <v>-</v>
      </c>
    </row>
    <row r="15" spans="2:15" x14ac:dyDescent="0.25">
      <c r="B15" s="11" t="s">
        <v>14</v>
      </c>
      <c r="C15" s="11"/>
      <c r="D15" s="13"/>
      <c r="E15" s="13"/>
      <c r="F15" s="13"/>
      <c r="G15" s="13"/>
      <c r="H15" s="14"/>
      <c r="I15" s="14">
        <f t="shared" ref="I15:O15" si="9">IF(ISNUMBER(F33),I10/SUM(F33:I33),"-")</f>
        <v>12.4309853460972</v>
      </c>
      <c r="J15" s="14">
        <f t="shared" si="9"/>
        <v>11.790631178748757</v>
      </c>
      <c r="K15" s="14">
        <f t="shared" si="9"/>
        <v>12.931463682647212</v>
      </c>
      <c r="L15" s="14">
        <f t="shared" si="9"/>
        <v>12.133892614555254</v>
      </c>
      <c r="M15" s="14">
        <f t="shared" si="9"/>
        <v>12.484507252680965</v>
      </c>
      <c r="N15" s="14">
        <f t="shared" si="9"/>
        <v>13.520870604292069</v>
      </c>
      <c r="O15" s="78">
        <f>IF(ISNUMBER(O33),O10/SUM(O33),"-")</f>
        <v>14.731923640277413</v>
      </c>
    </row>
    <row r="16" spans="2:15" x14ac:dyDescent="0.25">
      <c r="B16" s="11" t="s">
        <v>15</v>
      </c>
      <c r="C16" s="11"/>
      <c r="D16" s="13"/>
      <c r="E16" s="13"/>
      <c r="F16" s="13"/>
      <c r="G16" s="13"/>
      <c r="H16" s="14"/>
      <c r="I16" s="14">
        <f t="shared" ref="I16:O16" si="10">IF(ISNUMBER(L33),I10/SUM(I33:L33),"-")</f>
        <v>13.650629191374662</v>
      </c>
      <c r="J16" s="14">
        <f t="shared" si="10"/>
        <v>12.73261726219839</v>
      </c>
      <c r="K16" s="14">
        <f t="shared" si="10"/>
        <v>12.988997020151793</v>
      </c>
      <c r="L16" s="14">
        <f t="shared" si="10"/>
        <v>6.7673995189416711</v>
      </c>
      <c r="M16" s="14" t="str">
        <f t="shared" si="10"/>
        <v>-</v>
      </c>
      <c r="N16" s="14" t="str">
        <f t="shared" si="10"/>
        <v>-</v>
      </c>
      <c r="O16" s="78" t="str">
        <f t="shared" si="10"/>
        <v>-</v>
      </c>
    </row>
    <row r="17" spans="1:15" x14ac:dyDescent="0.25">
      <c r="B17" s="15" t="s">
        <v>16</v>
      </c>
      <c r="C17" s="15"/>
      <c r="D17" s="16"/>
      <c r="E17" s="16"/>
      <c r="F17" s="16"/>
      <c r="G17" s="16"/>
      <c r="H17" s="17"/>
      <c r="I17" s="17">
        <f t="shared" ref="I17:O17" si="11">IF(ISNUMBER(I22),I10/SUM(F22:I22),"-")</f>
        <v>0.6600523192617983</v>
      </c>
      <c r="J17" s="17">
        <f t="shared" si="11"/>
        <v>0.61574026510741464</v>
      </c>
      <c r="K17" s="17">
        <f t="shared" si="11"/>
        <v>0.64336307395356673</v>
      </c>
      <c r="L17" s="17">
        <f t="shared" si="11"/>
        <v>0.58519540337467169</v>
      </c>
      <c r="M17" s="17">
        <f t="shared" si="11"/>
        <v>0.60343672479590516</v>
      </c>
      <c r="N17" s="17">
        <f t="shared" si="11"/>
        <v>0.66613260671506114</v>
      </c>
      <c r="O17" s="79">
        <f>IF(ISNUMBER(O22),O10/SUM(O22),"-")</f>
        <v>0.72579754541176156</v>
      </c>
    </row>
    <row r="18" spans="1:15" x14ac:dyDescent="0.25">
      <c r="B18" s="18"/>
      <c r="C18" s="19"/>
      <c r="D18" s="20"/>
      <c r="E18" s="20"/>
      <c r="F18" s="20"/>
      <c r="G18" s="20"/>
      <c r="H18" s="20"/>
      <c r="I18" s="21"/>
      <c r="J18" s="21"/>
      <c r="K18" s="21"/>
      <c r="L18" s="20"/>
      <c r="M18" s="21"/>
      <c r="N18" s="21"/>
    </row>
    <row r="19" spans="1:15" x14ac:dyDescent="0.25">
      <c r="B19" s="18"/>
      <c r="C19" s="19"/>
      <c r="D19" s="20"/>
      <c r="E19" s="20"/>
      <c r="F19" s="20"/>
      <c r="G19" s="20"/>
      <c r="H19" s="20"/>
      <c r="I19" s="21"/>
      <c r="J19" s="21"/>
      <c r="K19" s="21"/>
      <c r="L19" s="20"/>
      <c r="M19" s="21"/>
      <c r="N19" s="21"/>
    </row>
    <row r="20" spans="1:15" x14ac:dyDescent="0.25">
      <c r="A20" s="22"/>
      <c r="B20" s="22"/>
      <c r="C20" s="23">
        <v>2012</v>
      </c>
      <c r="D20" s="24">
        <v>2013</v>
      </c>
      <c r="E20" s="23">
        <v>2013</v>
      </c>
      <c r="F20" s="23">
        <v>2013</v>
      </c>
      <c r="G20" s="25">
        <v>2013</v>
      </c>
      <c r="H20" s="24">
        <v>2014</v>
      </c>
      <c r="I20" s="23">
        <v>2014</v>
      </c>
      <c r="J20" s="23">
        <v>2014</v>
      </c>
      <c r="K20" s="25">
        <v>2014</v>
      </c>
      <c r="L20" s="24">
        <v>2015</v>
      </c>
      <c r="M20" s="23">
        <v>2015</v>
      </c>
      <c r="N20" s="23">
        <v>2015</v>
      </c>
      <c r="O20" s="26"/>
    </row>
    <row r="21" spans="1:15" ht="15.75" x14ac:dyDescent="0.25">
      <c r="A21" s="27" t="s">
        <v>17</v>
      </c>
      <c r="B21" s="28" t="s">
        <v>18</v>
      </c>
      <c r="C21" s="29" t="s">
        <v>19</v>
      </c>
      <c r="D21" s="30" t="s">
        <v>20</v>
      </c>
      <c r="E21" s="29" t="s">
        <v>21</v>
      </c>
      <c r="F21" s="29" t="s">
        <v>22</v>
      </c>
      <c r="G21" s="31" t="s">
        <v>23</v>
      </c>
      <c r="H21" s="30" t="s">
        <v>20</v>
      </c>
      <c r="I21" s="29" t="s">
        <v>21</v>
      </c>
      <c r="J21" s="29" t="s">
        <v>22</v>
      </c>
      <c r="K21" s="31" t="s">
        <v>23</v>
      </c>
      <c r="L21" s="30" t="s">
        <v>20</v>
      </c>
      <c r="M21" s="29" t="s">
        <v>21</v>
      </c>
      <c r="N21" s="29" t="s">
        <v>22</v>
      </c>
      <c r="O21" s="26" t="s">
        <v>69</v>
      </c>
    </row>
    <row r="22" spans="1:15" x14ac:dyDescent="0.25">
      <c r="A22" s="32" t="s">
        <v>24</v>
      </c>
      <c r="B22" s="33" t="str">
        <f>_xll.KeyName($C$1,A22)</f>
        <v>Revenues</v>
      </c>
      <c r="C22" s="34">
        <f>_xll.KeyLookup($C$1,C$20,C$21,$A22)/$C$2</f>
        <v>71771</v>
      </c>
      <c r="D22" s="35">
        <f>_xll.KeyLookup($C$1,D$20,D$21,$A22)/$C$2</f>
        <v>18379</v>
      </c>
      <c r="E22" s="36">
        <f>_xll.KeyLookup($C$1,E$20,E$21,$A22)/$C$2</f>
        <v>19415</v>
      </c>
      <c r="F22" s="36">
        <f>_xll.KeyLookup($C$1,F$20,F$21,$A22)/$C$2</f>
        <v>17996</v>
      </c>
      <c r="G22" s="37">
        <f>_xll.KeyLookup($C$1,G$20,G$21,$A22)/$C$2</f>
        <v>20368</v>
      </c>
      <c r="H22" s="35">
        <f>_xll.KeyLookup($C$1,H$20,H$21,$A22)/$C$2</f>
        <v>18885</v>
      </c>
      <c r="I22" s="36">
        <f>_xll.KeyLookup($C$1,I$20,I$21,$A22)/$C$2</f>
        <v>19478</v>
      </c>
      <c r="J22" s="36">
        <f>_xll.KeyLookup($C$1,J$20,J$21,$A22)/$C$2</f>
        <v>18400</v>
      </c>
      <c r="K22" s="37">
        <f>_xll.KeyLookup($C$1,K$20,K$21,$A22)/$C$2</f>
        <v>20380</v>
      </c>
      <c r="L22" s="35">
        <f>_xll.KeyLookup($C$1,L$20,L$21,$A22)/$C$2</f>
        <v>18668</v>
      </c>
      <c r="M22" s="36">
        <f>_xll.KeyLookup($C$1,M$20,M$21,$A22)/$C$2</f>
        <v>19722</v>
      </c>
      <c r="N22" s="36">
        <f>_xll.KeyLookup($C$1,N$20,N$21,$A22)/$C$2</f>
        <v>18787</v>
      </c>
      <c r="O22" s="38">
        <f>SUM(K22:N22)</f>
        <v>77557</v>
      </c>
    </row>
    <row r="23" spans="1:15" ht="15" customHeight="1" x14ac:dyDescent="0.25">
      <c r="A23" s="39">
        <v>10201</v>
      </c>
      <c r="B23" s="39" t="str">
        <f>_xll.KeyName($C$1,A23)</f>
        <v>Sales</v>
      </c>
      <c r="C23" s="40">
        <f>_xll.KeyLookup($C$1,C$20,C$21,$A23)/$C$2</f>
        <v>71771</v>
      </c>
      <c r="D23" s="41">
        <f>_xll.KeyLookup($C$1,D$20,D$21,$A23)/$C$2</f>
        <v>18379</v>
      </c>
      <c r="E23" s="42">
        <f>_xll.KeyLookup($C$1,E$20,E$21,$A23)/$C$2</f>
        <v>19415</v>
      </c>
      <c r="F23" s="42">
        <f>_xll.KeyLookup($C$1,F$20,F$21,$A23)/$C$2</f>
        <v>17996</v>
      </c>
      <c r="G23" s="43">
        <f>_xll.KeyLookup($C$1,G$20,G$21,$A23)/$C$2</f>
        <v>20368</v>
      </c>
      <c r="H23" s="41">
        <f>_xll.KeyLookup($C$1,H$20,H$21,$A23)/$C$2</f>
        <v>18885</v>
      </c>
      <c r="I23" s="42">
        <f>_xll.KeyLookup($C$1,I$20,I$21,$A23)/$C$2</f>
        <v>19478</v>
      </c>
      <c r="J23" s="42">
        <f>_xll.KeyLookup($C$1,J$20,J$21,$A23)/$C$2</f>
        <v>18400</v>
      </c>
      <c r="K23" s="43">
        <f>_xll.KeyLookup($C$1,K$20,K$21,$A23)/$C$2</f>
        <v>20380</v>
      </c>
      <c r="L23" s="41">
        <f>_xll.KeyLookup($C$1,L$20,L$21,$A23)/$C$2</f>
        <v>18668</v>
      </c>
      <c r="M23" s="42">
        <f>_xll.KeyLookup($C$1,M$20,M$21,$A23)/$C$2</f>
        <v>19722</v>
      </c>
      <c r="N23" s="42">
        <f>_xll.KeyLookup($C$1,N$20,N$21,$A23)/$C$2</f>
        <v>18787</v>
      </c>
      <c r="O23" s="13">
        <f>SUM(K23:N23)</f>
        <v>77557</v>
      </c>
    </row>
    <row r="24" spans="1:15" ht="15" customHeight="1" x14ac:dyDescent="0.25">
      <c r="A24" s="32">
        <v>115</v>
      </c>
      <c r="B24" s="11" t="str">
        <f>_xll.KeyName($C$1,A24)</f>
        <v>Cost of goods sold</v>
      </c>
      <c r="C24" s="40">
        <f>_xll.KeyLookup($C$1,C$20,C$21,$A24)/$C$2</f>
        <v>-54485</v>
      </c>
      <c r="D24" s="41">
        <f>_xll.KeyLookup($C$1,D$20,D$21,$A24)/$C$2</f>
        <v>-13932</v>
      </c>
      <c r="E24" s="42">
        <f>_xll.KeyLookup($C$1,E$20,E$21,$A24)/$C$2</f>
        <v>-14747</v>
      </c>
      <c r="F24" s="42">
        <f>_xll.KeyLookup($C$1,F$20,F$21,$A24)/$C$2</f>
        <v>-13584</v>
      </c>
      <c r="G24" s="43">
        <f>_xll.KeyLookup($C$1,G$20,G$21,$A24)/$C$2</f>
        <v>-15424</v>
      </c>
      <c r="H24" s="41">
        <f>_xll.KeyLookup($C$1,H$20,H$21,$A24)/$C$2</f>
        <v>-14311</v>
      </c>
      <c r="I24" s="42">
        <f>_xll.KeyLookup($C$1,I$20,I$21,$A24)/$C$2</f>
        <v>-14787</v>
      </c>
      <c r="J24" s="42">
        <f>_xll.KeyLookup($C$1,J$20,J$21,$A24)/$C$2</f>
        <v>-13978</v>
      </c>
      <c r="K24" s="43">
        <f>_xll.KeyLookup($C$1,K$20,K$21,$A24)/$C$2</f>
        <v>-15563</v>
      </c>
      <c r="L24" s="41">
        <f>_xll.KeyLookup($C$1,L$20,L$21,$A24)/$C$2</f>
        <v>-14183</v>
      </c>
      <c r="M24" s="42">
        <f>_xll.KeyLookup($C$1,M$20,M$21,$A24)/$C$2</f>
        <v>-14875</v>
      </c>
      <c r="N24" s="42">
        <f>_xll.KeyLookup($C$1,N$20,N$21,$A24)/$C$2</f>
        <v>-14134</v>
      </c>
      <c r="O24" s="13">
        <f>SUM(K24:N24)</f>
        <v>-58755</v>
      </c>
    </row>
    <row r="25" spans="1:15" ht="15" customHeight="1" x14ac:dyDescent="0.25">
      <c r="A25" s="32">
        <v>123</v>
      </c>
      <c r="B25" s="11" t="str">
        <f>_xll.KeyName($C$1,A25)</f>
        <v>Salaries and related expenses</v>
      </c>
      <c r="C25" s="40">
        <f>_xll.KeyLookup($C$1,C$20,C$21,$A25)/$C$2</f>
        <v>-6267</v>
      </c>
      <c r="D25" s="41">
        <f>_xll.KeyLookup($C$1,D$20,D$21,$A25)/$C$2</f>
        <v>-1598</v>
      </c>
      <c r="E25" s="42">
        <f>_xll.KeyLookup($C$1,E$20,E$21,$A25)/$C$2</f>
        <v>-1518</v>
      </c>
      <c r="F25" s="42">
        <f>_xll.KeyLookup($C$1,F$20,F$21,$A25)/$C$2</f>
        <v>-1594</v>
      </c>
      <c r="G25" s="43">
        <f>_xll.KeyLookup($C$1,G$20,G$21,$A25)/$C$2</f>
        <v>-1766</v>
      </c>
      <c r="H25" s="41">
        <f>_xll.KeyLookup($C$1,H$20,H$21,$A25)/$C$2</f>
        <v>-1646</v>
      </c>
      <c r="I25" s="42">
        <f>_xll.KeyLookup($C$1,I$20,I$21,$A25)/$C$2</f>
        <v>-1568</v>
      </c>
      <c r="J25" s="42">
        <f>_xll.KeyLookup($C$1,J$20,J$21,$A25)/$C$2</f>
        <v>-1674</v>
      </c>
      <c r="K25" s="43">
        <f>_xll.KeyLookup($C$1,K$20,K$21,$A25)/$C$2</f>
        <v>-1792</v>
      </c>
      <c r="L25" s="41">
        <f>_xll.KeyLookup($C$1,L$20,L$21,$A25)/$C$2</f>
        <v>-1697</v>
      </c>
      <c r="M25" s="42">
        <f>_xll.KeyLookup($C$1,M$20,M$21,$A25)/$C$2</f>
        <v>-1667</v>
      </c>
      <c r="N25" s="42">
        <f>_xll.KeyLookup($C$1,N$20,N$21,$A25)/$C$2</f>
        <v>-1788</v>
      </c>
      <c r="O25" s="13">
        <f>SUM(K25:N25)</f>
        <v>-6944</v>
      </c>
    </row>
    <row r="26" spans="1:15" ht="15" customHeight="1" x14ac:dyDescent="0.25">
      <c r="A26" s="32" t="s">
        <v>25</v>
      </c>
      <c r="B26" s="33" t="str">
        <f>_xll.KeyName($C$1,A26)</f>
        <v>EBITDA</v>
      </c>
      <c r="C26" s="34">
        <f>_xll.KeyLookup($C$1,C$20,C$21,$A26)/$C$2</f>
        <v>4963</v>
      </c>
      <c r="D26" s="35">
        <f>_xll.KeyLookup($C$1,D$20,D$21,$A26)/$C$2</f>
        <v>1336</v>
      </c>
      <c r="E26" s="36">
        <f>_xll.KeyLookup($C$1,E$20,E$21,$A26)/$C$2</f>
        <v>1667</v>
      </c>
      <c r="F26" s="36">
        <f>_xll.KeyLookup($C$1,F$20,F$21,$A26)/$C$2</f>
        <v>1233</v>
      </c>
      <c r="G26" s="37">
        <f>_xll.KeyLookup($C$1,G$20,G$21,$A26)/$C$2</f>
        <v>1626</v>
      </c>
      <c r="H26" s="35">
        <f>_xll.KeyLookup($C$1,H$20,H$21,$A26)/$C$2</f>
        <v>1405</v>
      </c>
      <c r="I26" s="36">
        <f>_xll.KeyLookup($C$1,I$20,I$21,$A26)/$C$2</f>
        <v>1638</v>
      </c>
      <c r="J26" s="36">
        <f>_xll.KeyLookup($C$1,J$20,J$21,$A26)/$C$2</f>
        <v>1143</v>
      </c>
      <c r="K26" s="37">
        <f>_xll.KeyLookup($C$1,K$20,K$21,$A26)/$C$2</f>
        <v>1430</v>
      </c>
      <c r="L26" s="35">
        <f>_xll.KeyLookup($C$1,L$20,L$21,$A26)/$C$2</f>
        <v>1212</v>
      </c>
      <c r="M26" s="36">
        <f>_xll.KeyLookup($C$1,M$20,M$21,$A26)/$C$2</f>
        <v>1656</v>
      </c>
      <c r="N26" s="36">
        <f>_xll.KeyLookup($C$1,N$20,N$21,$A26)/$C$2</f>
        <v>1273</v>
      </c>
      <c r="O26" s="44">
        <f>SUM(K26:N26)</f>
        <v>5571</v>
      </c>
    </row>
    <row r="27" spans="1:15" ht="15" customHeight="1" x14ac:dyDescent="0.25">
      <c r="A27" s="32">
        <v>131</v>
      </c>
      <c r="B27" s="11" t="str">
        <f>_xll.KeyName($C$1,A27)</f>
        <v>Depreciation and amortization</v>
      </c>
      <c r="C27" s="40">
        <f>_xll.KeyLookup($C$1,C$20,C$21,$A27)/$C$2</f>
        <v>-688</v>
      </c>
      <c r="D27" s="41">
        <f>_xll.KeyLookup($C$1,D$20,D$21,$A27)/$C$2</f>
        <v>-168</v>
      </c>
      <c r="E27" s="42">
        <f>_xll.KeyLookup($C$1,E$20,E$21,$A27)/$C$2</f>
        <v>-160</v>
      </c>
      <c r="F27" s="42">
        <f>_xll.KeyLookup($C$1,F$20,F$21,$A27)/$C$2</f>
        <v>-160</v>
      </c>
      <c r="G27" s="43">
        <f>_xll.KeyLookup($C$1,G$20,G$21,$A27)/$C$2</f>
        <v>-166</v>
      </c>
      <c r="H27" s="41">
        <f>_xll.KeyLookup($C$1,H$20,H$21,$A27)/$C$2</f>
        <v>-166</v>
      </c>
      <c r="I27" s="42">
        <f>_xll.KeyLookup($C$1,I$20,I$21,$A27)/$C$2</f>
        <v>-168</v>
      </c>
      <c r="J27" s="42">
        <f>_xll.KeyLookup($C$1,J$20,J$21,$A27)/$C$2</f>
        <v>-167</v>
      </c>
      <c r="K27" s="43">
        <f>_xll.KeyLookup($C$1,K$20,K$21,$A27)/$C$2</f>
        <v>-173</v>
      </c>
      <c r="L27" s="41">
        <f>_xll.KeyLookup($C$1,L$20,L$21,$A27)/$C$2</f>
        <v>-171</v>
      </c>
      <c r="M27" s="42">
        <f>_xll.KeyLookup($C$1,M$20,M$21,$A27)/$C$2</f>
        <v>-162</v>
      </c>
      <c r="N27" s="42">
        <f>_xll.KeyLookup($C$1,N$20,N$21,$A27)/$C$2</f>
        <v>-175</v>
      </c>
      <c r="O27" s="13">
        <f>SUM(K27:N27)</f>
        <v>-681</v>
      </c>
    </row>
    <row r="28" spans="1:15" x14ac:dyDescent="0.25">
      <c r="A28" s="32" t="s">
        <v>26</v>
      </c>
      <c r="B28" s="33" t="str">
        <f>_xll.KeyName($C$1,A28)</f>
        <v>EBIT</v>
      </c>
      <c r="C28" s="34">
        <f>_xll.KeyLookup($C$1,C$20,C$21,$A28)/$C$2</f>
        <v>4275</v>
      </c>
      <c r="D28" s="35">
        <f>_xll.KeyLookup($C$1,D$20,D$21,$A28)/$C$2</f>
        <v>1168</v>
      </c>
      <c r="E28" s="36">
        <f>_xll.KeyLookup($C$1,E$20,E$21,$A28)/$C$2</f>
        <v>1507</v>
      </c>
      <c r="F28" s="36">
        <f>_xll.KeyLookup($C$1,F$20,F$21,$A28)/$C$2</f>
        <v>1073</v>
      </c>
      <c r="G28" s="37">
        <f>_xll.KeyLookup($C$1,G$20,G$21,$A28)/$C$2</f>
        <v>1460</v>
      </c>
      <c r="H28" s="35">
        <f>_xll.KeyLookup($C$1,H$20,H$21,$A28)/$C$2</f>
        <v>1239</v>
      </c>
      <c r="I28" s="36">
        <f>_xll.KeyLookup($C$1,I$20,I$21,$A28)/$C$2</f>
        <v>1470</v>
      </c>
      <c r="J28" s="36">
        <f>_xll.KeyLookup($C$1,J$20,J$21,$A28)/$C$2</f>
        <v>976</v>
      </c>
      <c r="K28" s="37">
        <f>_xll.KeyLookup($C$1,K$20,K$21,$A28)/$C$2</f>
        <v>1257</v>
      </c>
      <c r="L28" s="35">
        <f>_xll.KeyLookup($C$1,L$20,L$21,$A28)/$C$2</f>
        <v>1041</v>
      </c>
      <c r="M28" s="36">
        <f>_xll.KeyLookup($C$1,M$20,M$21,$A28)/$C$2</f>
        <v>1494</v>
      </c>
      <c r="N28" s="36">
        <f>_xll.KeyLookup($C$1,N$20,N$21,$A28)/$C$2</f>
        <v>1098</v>
      </c>
      <c r="O28" s="44">
        <f>SUM(K28:N28)</f>
        <v>4890</v>
      </c>
    </row>
    <row r="29" spans="1:15" x14ac:dyDescent="0.25">
      <c r="A29" s="32">
        <v>141</v>
      </c>
      <c r="B29" s="11" t="str">
        <f>_xll.KeyName($C$1,A29)</f>
        <v>Finance income</v>
      </c>
      <c r="C29" s="40">
        <f>_xll.KeyLookup($C$1,C$20,C$21,$A29)/$C$2</f>
        <v>188</v>
      </c>
      <c r="D29" s="41">
        <f>_xll.KeyLookup($C$1,D$20,D$21,$A29)/$C$2</f>
        <v>51</v>
      </c>
      <c r="E29" s="42">
        <f>_xll.KeyLookup($C$1,E$20,E$21,$A29)/$C$2</f>
        <v>73</v>
      </c>
      <c r="F29" s="42">
        <f>_xll.KeyLookup($C$1,F$20,F$21,$A29)/$C$2</f>
        <v>70</v>
      </c>
      <c r="G29" s="43">
        <f>_xll.KeyLookup($C$1,G$20,G$21,$A29)/$C$2</f>
        <v>65</v>
      </c>
      <c r="H29" s="41">
        <f>_xll.KeyLookup($C$1,H$20,H$21,$A29)/$C$2</f>
        <v>86</v>
      </c>
      <c r="I29" s="42">
        <f>_xll.KeyLookup($C$1,I$20,I$21,$A29)/$C$2</f>
        <v>53</v>
      </c>
      <c r="J29" s="42">
        <f>_xll.KeyLookup($C$1,J$20,J$21,$A29)/$C$2</f>
        <v>58</v>
      </c>
      <c r="K29" s="43">
        <f>_xll.KeyLookup($C$1,K$20,K$21,$A29)/$C$2</f>
        <v>51</v>
      </c>
      <c r="L29" s="41">
        <f>_xll.KeyLookup($C$1,L$20,L$21,$A29)/$C$2</f>
        <v>48</v>
      </c>
      <c r="M29" s="42">
        <f>_xll.KeyLookup($C$1,M$20,M$21,$A29)/$C$2</f>
        <v>59</v>
      </c>
      <c r="N29" s="42">
        <f>_xll.KeyLookup($C$1,N$20,N$21,$A29)/$C$2</f>
        <v>60</v>
      </c>
      <c r="O29" s="13">
        <f>SUM(K29:N29)</f>
        <v>218</v>
      </c>
    </row>
    <row r="30" spans="1:15" x14ac:dyDescent="0.25">
      <c r="A30" s="32">
        <v>142</v>
      </c>
      <c r="B30" s="11" t="str">
        <f>_xll.KeyName($C$1,A30)</f>
        <v>Finance expenses</v>
      </c>
      <c r="C30" s="40">
        <f>_xll.KeyLookup($C$1,C$20,C$21,$A30)/$C$2</f>
        <v>-725</v>
      </c>
      <c r="D30" s="41">
        <f>_xll.KeyLookup($C$1,D$20,D$21,$A30)/$C$2</f>
        <v>-173</v>
      </c>
      <c r="E30" s="42">
        <f>_xll.KeyLookup($C$1,E$20,E$21,$A30)/$C$2</f>
        <v>-160</v>
      </c>
      <c r="F30" s="42">
        <f>_xll.KeyLookup($C$1,F$20,F$21,$A30)/$C$2</f>
        <v>-134</v>
      </c>
      <c r="G30" s="43">
        <f>_xll.KeyLookup($C$1,G$20,G$21,$A30)/$C$2</f>
        <v>-125</v>
      </c>
      <c r="H30" s="41">
        <f>_xll.KeyLookup($C$1,H$20,H$21,$A30)/$C$2</f>
        <v>-151</v>
      </c>
      <c r="I30" s="42">
        <f>_xll.KeyLookup($C$1,I$20,I$21,$A30)/$C$2</f>
        <v>-80</v>
      </c>
      <c r="J30" s="42">
        <f>_xll.KeyLookup($C$1,J$20,J$21,$A30)/$C$2</f>
        <v>-91</v>
      </c>
      <c r="K30" s="43">
        <f>_xll.KeyLookup($C$1,K$20,K$21,$A30)/$C$2</f>
        <v>-73</v>
      </c>
      <c r="L30" s="41">
        <f>_xll.KeyLookup($C$1,L$20,L$21,$A30)/$C$2</f>
        <v>-75</v>
      </c>
      <c r="M30" s="42">
        <f>_xll.KeyLookup($C$1,M$20,M$21,$A30)/$C$2</f>
        <v>-85</v>
      </c>
      <c r="N30" s="42">
        <f>_xll.KeyLookup($C$1,N$20,N$21,$A30)/$C$2</f>
        <v>-101</v>
      </c>
      <c r="O30" s="13">
        <f>SUM(K30:N30)</f>
        <v>-334</v>
      </c>
    </row>
    <row r="31" spans="1:15" x14ac:dyDescent="0.25">
      <c r="A31" s="32" t="s">
        <v>27</v>
      </c>
      <c r="B31" s="12" t="str">
        <f>_xll.KeyName($C$1,A31)</f>
        <v>Net Financing Cost</v>
      </c>
      <c r="C31" s="45">
        <f>_xll.KeyLookup($C$1,C$20,C$21,$A31)/$C$2</f>
        <v>-537</v>
      </c>
      <c r="D31" s="46">
        <f>_xll.KeyLookup($C$1,D$20,D$21,$A31)/$C$2</f>
        <v>-122</v>
      </c>
      <c r="E31" s="47">
        <f>_xll.KeyLookup($C$1,E$20,E$21,$A31)/$C$2</f>
        <v>-87</v>
      </c>
      <c r="F31" s="47">
        <f>_xll.KeyLookup($C$1,F$20,F$21,$A31)/$C$2</f>
        <v>-64</v>
      </c>
      <c r="G31" s="48">
        <f>_xll.KeyLookup($C$1,G$20,G$21,$A31)/$C$2</f>
        <v>-60</v>
      </c>
      <c r="H31" s="46">
        <f>_xll.KeyLookup($C$1,H$20,H$21,$A31)/$C$2</f>
        <v>-65</v>
      </c>
      <c r="I31" s="47">
        <f>_xll.KeyLookup($C$1,I$20,I$21,$A31)/$C$2</f>
        <v>-27</v>
      </c>
      <c r="J31" s="47">
        <f>_xll.KeyLookup($C$1,J$20,J$21,$A31)/$C$2</f>
        <v>-33</v>
      </c>
      <c r="K31" s="48">
        <f>_xll.KeyLookup($C$1,K$20,K$21,$A31)/$C$2</f>
        <v>-22</v>
      </c>
      <c r="L31" s="46">
        <f>_xll.KeyLookup($C$1,L$20,L$21,$A31)/$C$2</f>
        <v>-27</v>
      </c>
      <c r="M31" s="47">
        <f>_xll.KeyLookup($C$1,M$20,M$21,$A31)/$C$2</f>
        <v>-26</v>
      </c>
      <c r="N31" s="47">
        <f>_xll.KeyLookup($C$1,N$20,N$21,$A31)/$C$2</f>
        <v>-41</v>
      </c>
      <c r="O31" s="44">
        <f>SUM(K31:N31)</f>
        <v>-116</v>
      </c>
    </row>
    <row r="32" spans="1:15" x14ac:dyDescent="0.25">
      <c r="A32" s="32">
        <v>151</v>
      </c>
      <c r="B32" s="11" t="str">
        <f>_xll.KeyName($C$1,A32)</f>
        <v>Income tax</v>
      </c>
      <c r="C32" s="40">
        <f>_xll.KeyLookup($C$1,C$20,C$21,$A32)/$C$2</f>
        <v>-780</v>
      </c>
      <c r="D32" s="41">
        <f>_xll.KeyLookup($C$1,D$20,D$21,$A32)/$C$2</f>
        <v>-209</v>
      </c>
      <c r="E32" s="42">
        <f>_xll.KeyLookup($C$1,E$20,E$21,$A32)/$C$2</f>
        <v>-284</v>
      </c>
      <c r="F32" s="42">
        <f>_xll.KeyLookup($C$1,F$20,F$21,$A32)/$C$2</f>
        <v>-209</v>
      </c>
      <c r="G32" s="43">
        <f>_xll.KeyLookup($C$1,G$20,G$21,$A32)/$C$2</f>
        <v>-220</v>
      </c>
      <c r="H32" s="41">
        <f>_xll.KeyLookup($C$1,H$20,H$21,$A32)/$C$2</f>
        <v>-235</v>
      </c>
      <c r="I32" s="42">
        <f>_xll.KeyLookup($C$1,I$20,I$21,$A32)/$C$2</f>
        <v>-288</v>
      </c>
      <c r="J32" s="42">
        <f>_xll.KeyLookup($C$1,J$20,J$21,$A32)/$C$2</f>
        <v>-189</v>
      </c>
      <c r="K32" s="43">
        <f>_xll.KeyLookup($C$1,K$20,K$21,$A32)/$C$2</f>
        <v>-245</v>
      </c>
      <c r="L32" s="41">
        <f>_xll.KeyLookup($C$1,L$20,L$21,$A32)/$C$2</f>
        <v>-203</v>
      </c>
      <c r="M32" s="42">
        <f>_xll.KeyLookup($C$1,M$20,M$21,$A32)/$C$2</f>
        <v>-293</v>
      </c>
      <c r="N32" s="42">
        <f>_xll.KeyLookup($C$1,N$20,N$21,$A32)/$C$2</f>
        <v>-212</v>
      </c>
      <c r="O32" s="13">
        <f>SUM(K32:N32)</f>
        <v>-953</v>
      </c>
    </row>
    <row r="33" spans="1:15" x14ac:dyDescent="0.25">
      <c r="A33" s="49" t="s">
        <v>28</v>
      </c>
      <c r="B33" s="50" t="str">
        <f>_xll.KeyName($C$1,A33)</f>
        <v>Earnings</v>
      </c>
      <c r="C33" s="51">
        <f>_xll.KeyLookup($C$1,C$20,C$21,$A33)/$C$2</f>
        <v>2958</v>
      </c>
      <c r="D33" s="52">
        <f>_xll.KeyLookup($C$1,D$20,D$21,$A33)/$C$2</f>
        <v>837</v>
      </c>
      <c r="E33" s="51">
        <f>_xll.KeyLookup($C$1,E$20,E$21,$A33)/$C$2</f>
        <v>1136</v>
      </c>
      <c r="F33" s="51">
        <f>_xll.KeyLookup($C$1,F$20,F$21,$A33)/$C$2</f>
        <v>800</v>
      </c>
      <c r="G33" s="53">
        <f>_xll.KeyLookup($C$1,G$20,G$21,$A33)/$C$2</f>
        <v>1180</v>
      </c>
      <c r="H33" s="52">
        <f>_xll.KeyLookup($C$1,H$20,H$21,$A33)/$C$2</f>
        <v>939</v>
      </c>
      <c r="I33" s="51">
        <f>_xll.KeyLookup($C$1,I$20,I$21,$A33)/$C$2</f>
        <v>1155</v>
      </c>
      <c r="J33" s="51">
        <f>_xll.KeyLookup($C$1,J$20,J$21,$A33)/$C$2</f>
        <v>754</v>
      </c>
      <c r="K33" s="53">
        <f>_xll.KeyLookup($C$1,K$20,K$21,$A33)/$C$2</f>
        <v>990</v>
      </c>
      <c r="L33" s="52">
        <f>_xll.KeyLookup($C$1,L$20,L$21,$A33)/$C$2</f>
        <v>811</v>
      </c>
      <c r="M33" s="51">
        <f>_xll.KeyLookup($C$1,M$20,M$21,$A33)/$C$2</f>
        <v>1175</v>
      </c>
      <c r="N33" s="51">
        <f>_xll.KeyLookup($C$1,N$20,N$21,$A33)/$C$2</f>
        <v>845</v>
      </c>
      <c r="O33" s="54">
        <f>SUM(K33:N33)</f>
        <v>3821</v>
      </c>
    </row>
    <row r="34" spans="1:15" x14ac:dyDescent="0.25">
      <c r="D34" s="55"/>
      <c r="E34" s="55"/>
      <c r="F34" s="55"/>
      <c r="G34" s="55"/>
      <c r="H34" s="22"/>
      <c r="I34" s="22"/>
      <c r="J34" s="22"/>
      <c r="K34" s="22"/>
      <c r="L34" s="22"/>
      <c r="M34" s="22"/>
      <c r="N34" s="22"/>
      <c r="O34" s="56"/>
    </row>
    <row r="35" spans="1:15" x14ac:dyDescent="0.25">
      <c r="A35" s="57"/>
      <c r="B35" s="58" t="s">
        <v>38</v>
      </c>
      <c r="C35" s="57"/>
      <c r="D35" s="57"/>
      <c r="E35" s="57"/>
      <c r="F35" s="57"/>
      <c r="G35" s="57"/>
      <c r="H35" s="22"/>
      <c r="I35" s="22"/>
      <c r="J35" s="22"/>
      <c r="K35" s="22"/>
      <c r="L35" s="22"/>
      <c r="M35" s="22"/>
      <c r="N35" s="22"/>
      <c r="O35" s="76" t="s">
        <v>70</v>
      </c>
    </row>
    <row r="36" spans="1:15" x14ac:dyDescent="0.25">
      <c r="A36" s="32" t="s">
        <v>32</v>
      </c>
      <c r="B36" s="33" t="str">
        <f>_xll.KeyName($C$1,A36)</f>
        <v>Non Current Assets</v>
      </c>
      <c r="C36" s="34">
        <f>_xll.KeyLookup($C$1,C$20,C$21,$A36)/$C$2</f>
        <v>12875</v>
      </c>
      <c r="D36" s="35">
        <f>_xll.KeyLookup($C$1,D$20,D$21,$A36)/$C$2</f>
        <v>12809</v>
      </c>
      <c r="E36" s="36">
        <f>_xll.KeyLookup($C$1,E$20,E$21,$A36)/$C$2</f>
        <v>12774</v>
      </c>
      <c r="F36" s="36">
        <f>_xll.KeyLookup($C$1,F$20,F$21,$A36)/$C$2</f>
        <v>12733</v>
      </c>
      <c r="G36" s="36">
        <f>_xll.KeyLookup($C$1,G$20,G$21,$A36)/$C$2</f>
        <v>13049</v>
      </c>
      <c r="H36" s="59">
        <f>_xll.KeyLookup($C$1,H$20,H$21,$A36)/$C$2</f>
        <v>13107</v>
      </c>
      <c r="I36" s="60">
        <f>_xll.KeyLookup($C$1,I$20,I$21,$A36)/$C$2</f>
        <v>13124</v>
      </c>
      <c r="J36" s="60">
        <f>_xll.KeyLookup($C$1,J$20,J$21,$A36)/$C$2</f>
        <v>13183</v>
      </c>
      <c r="K36" s="61">
        <f>_xll.KeyLookup($C$1,K$20,K$21,$A36)/$C$2</f>
        <v>14520</v>
      </c>
      <c r="L36" s="59">
        <f>_xll.KeyLookup($C$1,L$20,L$21,$A36)/$C$2</f>
        <v>14901</v>
      </c>
      <c r="M36" s="60">
        <f>_xll.KeyLookup($C$1,M$20,M$21,$A36)/$C$2</f>
        <v>15514</v>
      </c>
      <c r="N36" s="60">
        <f>_xll.KeyLookup($C$1,N$20,N$21,$A36)/$C$2</f>
        <v>15960</v>
      </c>
      <c r="O36" s="38">
        <f>N36</f>
        <v>15960</v>
      </c>
    </row>
    <row r="37" spans="1:15" x14ac:dyDescent="0.25">
      <c r="A37" s="32">
        <v>211</v>
      </c>
      <c r="B37" s="11" t="str">
        <f>_xll.KeyName($C$1,A37)</f>
        <v>Operating assets</v>
      </c>
      <c r="C37" s="40">
        <f>_xll.KeyLookup($C$1,C$20,C$21,$A37)/$C$2</f>
        <v>5086</v>
      </c>
      <c r="D37" s="41">
        <f>_xll.KeyLookup($C$1,D$20,D$21,$A37)/$C$2</f>
        <v>5023</v>
      </c>
      <c r="E37" s="42">
        <f>_xll.KeyLookup($C$1,E$20,E$21,$A37)/$C$2</f>
        <v>4992</v>
      </c>
      <c r="F37" s="42">
        <f>_xll.KeyLookup($C$1,F$20,F$21,$A37)/$C$2</f>
        <v>4956</v>
      </c>
      <c r="G37" s="42">
        <f>_xll.KeyLookup($C$1,G$20,G$21,$A37)/$C$2</f>
        <v>5275</v>
      </c>
      <c r="H37" s="41">
        <f>_xll.KeyLookup($C$1,H$20,H$21,$A37)/$C$2</f>
        <v>5339</v>
      </c>
      <c r="I37" s="42">
        <f>_xll.KeyLookup($C$1,I$20,I$21,$A37)/$C$2</f>
        <v>5362</v>
      </c>
      <c r="J37" s="42">
        <f>_xll.KeyLookup($C$1,J$20,J$21,$A37)/$C$2</f>
        <v>5425</v>
      </c>
      <c r="K37" s="43">
        <f>_xll.KeyLookup($C$1,K$20,K$21,$A37)/$C$2</f>
        <v>6770</v>
      </c>
      <c r="L37" s="41">
        <f>_xll.KeyLookup($C$1,L$20,L$21,$A37)/$C$2</f>
        <v>7148</v>
      </c>
      <c r="M37" s="42">
        <f>_xll.KeyLookup($C$1,M$20,M$21,$A37)/$C$2</f>
        <v>7771</v>
      </c>
      <c r="N37" s="42">
        <f>_xll.KeyLookup($C$1,N$20,N$21,$A37)/$C$2</f>
        <v>8225</v>
      </c>
      <c r="O37" s="13">
        <f>N37</f>
        <v>8225</v>
      </c>
    </row>
    <row r="38" spans="1:15" x14ac:dyDescent="0.25">
      <c r="A38" s="32">
        <v>213</v>
      </c>
      <c r="B38" s="11" t="str">
        <f>_xll.KeyName($C$1,A38)</f>
        <v>Intangible assets</v>
      </c>
      <c r="C38" s="40">
        <f>_xll.KeyLookup($C$1,C$20,C$21,$A38)/$C$2</f>
        <v>7789</v>
      </c>
      <c r="D38" s="41">
        <f>_xll.KeyLookup($C$1,D$20,D$21,$A38)/$C$2</f>
        <v>7786</v>
      </c>
      <c r="E38" s="42">
        <f>_xll.KeyLookup($C$1,E$20,E$21,$A38)/$C$2</f>
        <v>7782</v>
      </c>
      <c r="F38" s="42">
        <f>_xll.KeyLookup($C$1,F$20,F$21,$A38)/$C$2</f>
        <v>7777</v>
      </c>
      <c r="G38" s="42">
        <f>_xll.KeyLookup($C$1,G$20,G$21,$A38)/$C$2</f>
        <v>7774</v>
      </c>
      <c r="H38" s="41">
        <f>_xll.KeyLookup($C$1,H$20,H$21,$A38)/$C$2</f>
        <v>7768</v>
      </c>
      <c r="I38" s="42">
        <f>_xll.KeyLookup($C$1,I$20,I$21,$A38)/$C$2</f>
        <v>7762</v>
      </c>
      <c r="J38" s="42">
        <f>_xll.KeyLookup($C$1,J$20,J$21,$A38)/$C$2</f>
        <v>7758</v>
      </c>
      <c r="K38" s="43">
        <f>_xll.KeyLookup($C$1,K$20,K$21,$A38)/$C$2</f>
        <v>7750</v>
      </c>
      <c r="L38" s="41">
        <f>_xll.KeyLookup($C$1,L$20,L$21,$A38)/$C$2</f>
        <v>7753</v>
      </c>
      <c r="M38" s="42">
        <f>_xll.KeyLookup($C$1,M$20,M$21,$A38)/$C$2</f>
        <v>7743</v>
      </c>
      <c r="N38" s="42">
        <f>_xll.KeyLookup($C$1,N$20,N$21,$A38)/$C$2</f>
        <v>7735</v>
      </c>
      <c r="O38" s="13">
        <f>N38</f>
        <v>7735</v>
      </c>
    </row>
    <row r="39" spans="1:15" x14ac:dyDescent="0.25">
      <c r="A39" s="32" t="s">
        <v>33</v>
      </c>
      <c r="B39" s="33" t="str">
        <f>_xll.KeyName($C$1,A39)</f>
        <v>Current Assets</v>
      </c>
      <c r="C39" s="34">
        <f>_xll.KeyLookup($C$1,C$20,C$21,$A39)/$C$2</f>
        <v>12839</v>
      </c>
      <c r="D39" s="35">
        <f>_xll.KeyLookup($C$1,D$20,D$21,$A39)/$C$2</f>
        <v>13465</v>
      </c>
      <c r="E39" s="36">
        <f>_xll.KeyLookup($C$1,E$20,E$21,$A39)/$C$2</f>
        <v>14093</v>
      </c>
      <c r="F39" s="36">
        <f>_xll.KeyLookup($C$1,F$20,F$21,$A39)/$C$2</f>
        <v>13899</v>
      </c>
      <c r="G39" s="36">
        <f>_xll.KeyLookup($C$1,G$20,G$21,$A39)/$C$2</f>
        <v>13556</v>
      </c>
      <c r="H39" s="35">
        <f>_xll.KeyLookup($C$1,H$20,H$21,$A39)/$C$2</f>
        <v>13645</v>
      </c>
      <c r="I39" s="36">
        <f>_xll.KeyLookup($C$1,I$20,I$21,$A39)/$C$2</f>
        <v>13329</v>
      </c>
      <c r="J39" s="36">
        <f>_xll.KeyLookup($C$1,J$20,J$21,$A39)/$C$2</f>
        <v>14294</v>
      </c>
      <c r="K39" s="37">
        <f>_xll.KeyLookup($C$1,K$20,K$21,$A39)/$C$2</f>
        <v>13089</v>
      </c>
      <c r="L39" s="35">
        <f>_xll.KeyLookup($C$1,L$20,L$21,$A39)/$C$2</f>
        <v>14371</v>
      </c>
      <c r="M39" s="36">
        <f>_xll.KeyLookup($C$1,M$20,M$21,$A39)/$C$2</f>
        <v>12460</v>
      </c>
      <c r="N39" s="36">
        <f>_xll.KeyLookup($C$1,N$20,N$21,$A39)/$C$2</f>
        <v>13768</v>
      </c>
      <c r="O39" s="44">
        <f>N39</f>
        <v>13768</v>
      </c>
    </row>
    <row r="40" spans="1:15" x14ac:dyDescent="0.25">
      <c r="A40" s="32">
        <v>221</v>
      </c>
      <c r="B40" s="11" t="str">
        <f>_xll.KeyName($C$1,A40)</f>
        <v>Inventories</v>
      </c>
      <c r="C40" s="40">
        <f>_xll.KeyLookup($C$1,C$20,C$21,$A40)/$C$2</f>
        <v>5099</v>
      </c>
      <c r="D40" s="41">
        <f>_xll.KeyLookup($C$1,D$20,D$21,$A40)/$C$2</f>
        <v>5567</v>
      </c>
      <c r="E40" s="42">
        <f>_xll.KeyLookup($C$1,E$20,E$21,$A40)/$C$2</f>
        <v>5015</v>
      </c>
      <c r="F40" s="42">
        <f>_xll.KeyLookup($C$1,F$20,F$21,$A40)/$C$2</f>
        <v>6432</v>
      </c>
      <c r="G40" s="42">
        <f>_xll.KeyLookup($C$1,G$20,G$21,$A40)/$C$2</f>
        <v>4831</v>
      </c>
      <c r="H40" s="41">
        <f>_xll.KeyLookup($C$1,H$20,H$21,$A40)/$C$2</f>
        <v>5105</v>
      </c>
      <c r="I40" s="42">
        <f>_xll.KeyLookup($C$1,I$20,I$21,$A40)/$C$2</f>
        <v>4969</v>
      </c>
      <c r="J40" s="42">
        <f>_xll.KeyLookup($C$1,J$20,J$21,$A40)/$C$2</f>
        <v>6100</v>
      </c>
      <c r="K40" s="43">
        <f>_xll.KeyLookup($C$1,K$20,K$21,$A40)/$C$2</f>
        <v>4606</v>
      </c>
      <c r="L40" s="41">
        <f>_xll.KeyLookup($C$1,L$20,L$21,$A40)/$C$2</f>
        <v>4951</v>
      </c>
      <c r="M40" s="42">
        <f>_xll.KeyLookup($C$1,M$20,M$21,$A40)/$C$2</f>
        <v>4924</v>
      </c>
      <c r="N40" s="42">
        <f>_xll.KeyLookup($C$1,N$20,N$21,$A40)/$C$2</f>
        <v>6332</v>
      </c>
      <c r="O40" s="13">
        <f>N40</f>
        <v>6332</v>
      </c>
    </row>
    <row r="41" spans="1:15" x14ac:dyDescent="0.25">
      <c r="A41" s="32">
        <v>222</v>
      </c>
      <c r="B41" s="11" t="str">
        <f>_xll.KeyName($C$1,A41)</f>
        <v>Trade and other receivables</v>
      </c>
      <c r="C41" s="40">
        <f>_xll.KeyLookup($C$1,C$20,C$21,$A41)/$C$2</f>
        <v>4793</v>
      </c>
      <c r="D41" s="41">
        <f>_xll.KeyLookup($C$1,D$20,D$21,$A41)/$C$2</f>
        <v>4754</v>
      </c>
      <c r="E41" s="42">
        <f>_xll.KeyLookup($C$1,E$20,E$21,$A41)/$C$2</f>
        <v>5224</v>
      </c>
      <c r="F41" s="42">
        <f>_xll.KeyLookup($C$1,F$20,F$21,$A41)/$C$2</f>
        <v>4953</v>
      </c>
      <c r="G41" s="42">
        <f>_xll.KeyLookup($C$1,G$20,G$21,$A41)/$C$2</f>
        <v>4582</v>
      </c>
      <c r="H41" s="41">
        <f>_xll.KeyLookup($C$1,H$20,H$21,$A41)/$C$2</f>
        <v>5037</v>
      </c>
      <c r="I41" s="42">
        <f>_xll.KeyLookup($C$1,I$20,I$21,$A41)/$C$2</f>
        <v>5314</v>
      </c>
      <c r="J41" s="42">
        <f>_xll.KeyLookup($C$1,J$20,J$21,$A41)/$C$2</f>
        <v>5184</v>
      </c>
      <c r="K41" s="43">
        <f>_xll.KeyLookup($C$1,K$20,K$21,$A41)/$C$2</f>
        <v>5135</v>
      </c>
      <c r="L41" s="41">
        <f>_xll.KeyLookup($C$1,L$20,L$21,$A41)/$C$2</f>
        <v>4606</v>
      </c>
      <c r="M41" s="42">
        <f>_xll.KeyLookup($C$1,M$20,M$21,$A41)/$C$2</f>
        <v>5058</v>
      </c>
      <c r="N41" s="42">
        <f>_xll.KeyLookup($C$1,N$20,N$21,$A41)/$C$2</f>
        <v>4709</v>
      </c>
      <c r="O41" s="13">
        <f>N41</f>
        <v>4709</v>
      </c>
    </row>
    <row r="42" spans="1:15" x14ac:dyDescent="0.25">
      <c r="A42" s="32">
        <v>226</v>
      </c>
      <c r="B42" s="11" t="str">
        <f>_xll.KeyName($C$1,A42)</f>
        <v>Cash and cash equivalents</v>
      </c>
      <c r="C42" s="40">
        <f>_xll.KeyLookup($C$1,C$20,C$21,$A42)/$C$2</f>
        <v>2947</v>
      </c>
      <c r="D42" s="41">
        <f>_xll.KeyLookup($C$1,D$20,D$21,$A42)/$C$2</f>
        <v>3144</v>
      </c>
      <c r="E42" s="42">
        <f>_xll.KeyLookup($C$1,E$20,E$21,$A42)/$C$2</f>
        <v>3854</v>
      </c>
      <c r="F42" s="42">
        <f>_xll.KeyLookup($C$1,F$20,F$21,$A42)/$C$2</f>
        <v>2514</v>
      </c>
      <c r="G42" s="42">
        <f>_xll.KeyLookup($C$1,G$20,G$21,$A42)/$C$2</f>
        <v>4143</v>
      </c>
      <c r="H42" s="41">
        <f>_xll.KeyLookup($C$1,H$20,H$21,$A42)/$C$2</f>
        <v>3503</v>
      </c>
      <c r="I42" s="42">
        <f>_xll.KeyLookup($C$1,I$20,I$21,$A42)/$C$2</f>
        <v>3046</v>
      </c>
      <c r="J42" s="42">
        <f>_xll.KeyLookup($C$1,J$20,J$21,$A42)/$C$2</f>
        <v>3010</v>
      </c>
      <c r="K42" s="43">
        <f>_xll.KeyLookup($C$1,K$20,K$21,$A42)/$C$2</f>
        <v>3348</v>
      </c>
      <c r="L42" s="41">
        <f>_xll.KeyLookup($C$1,L$20,L$21,$A42)/$C$2</f>
        <v>4814</v>
      </c>
      <c r="M42" s="42">
        <f>_xll.KeyLookup($C$1,M$20,M$21,$A42)/$C$2</f>
        <v>2478</v>
      </c>
      <c r="N42" s="42">
        <f>_xll.KeyLookup($C$1,N$20,N$21,$A42)/$C$2</f>
        <v>2727</v>
      </c>
      <c r="O42" s="13">
        <f>N42</f>
        <v>2727</v>
      </c>
    </row>
    <row r="43" spans="1:15" x14ac:dyDescent="0.25">
      <c r="A43" s="32" t="s">
        <v>34</v>
      </c>
      <c r="B43" s="33" t="str">
        <f>_xll.KeyName($C$1,A43)</f>
        <v>Total Assets</v>
      </c>
      <c r="C43" s="34">
        <f>_xll.KeyLookup($C$1,C$20,C$21,$A43)/$C$2</f>
        <v>25714</v>
      </c>
      <c r="D43" s="35">
        <f>_xll.KeyLookup($C$1,D$20,D$21,$A43)/$C$2</f>
        <v>26274</v>
      </c>
      <c r="E43" s="36">
        <f>_xll.KeyLookup($C$1,E$20,E$21,$A43)/$C$2</f>
        <v>26867</v>
      </c>
      <c r="F43" s="36">
        <f>_xll.KeyLookup($C$1,F$20,F$21,$A43)/$C$2</f>
        <v>26632</v>
      </c>
      <c r="G43" s="36">
        <f>_xll.KeyLookup($C$1,G$20,G$21,$A43)/$C$2</f>
        <v>26605</v>
      </c>
      <c r="H43" s="35">
        <f>_xll.KeyLookup($C$1,H$20,H$21,$A43)/$C$2</f>
        <v>26752</v>
      </c>
      <c r="I43" s="36">
        <f>_xll.KeyLookup($C$1,I$20,I$21,$A43)/$C$2</f>
        <v>26453</v>
      </c>
      <c r="J43" s="36">
        <f>_xll.KeyLookup($C$1,J$20,J$21,$A43)/$C$2</f>
        <v>27477</v>
      </c>
      <c r="K43" s="37">
        <f>_xll.KeyLookup($C$1,K$20,K$21,$A43)/$C$2</f>
        <v>27609</v>
      </c>
      <c r="L43" s="35">
        <f>_xll.KeyLookup($C$1,L$20,L$21,$A43)/$C$2</f>
        <v>29272</v>
      </c>
      <c r="M43" s="36">
        <f>_xll.KeyLookup($C$1,M$20,M$21,$A43)/$C$2</f>
        <v>27974</v>
      </c>
      <c r="N43" s="36">
        <f>_xll.KeyLookup($C$1,N$20,N$21,$A43)/$C$2</f>
        <v>29728</v>
      </c>
      <c r="O43" s="44">
        <f>N43</f>
        <v>29728</v>
      </c>
    </row>
    <row r="44" spans="1:15" x14ac:dyDescent="0.25">
      <c r="A44" s="32" t="s">
        <v>35</v>
      </c>
      <c r="B44" s="33" t="str">
        <f>_xll.KeyName($C$1,A44)</f>
        <v>Equity</v>
      </c>
      <c r="C44" s="34">
        <f>_xll.KeyLookup($C$1,C$20,C$21,$A44)/$C$2</f>
        <v>8731</v>
      </c>
      <c r="D44" s="35">
        <f>_xll.KeyLookup($C$1,D$20,D$21,$A44)/$C$2</f>
        <v>9568</v>
      </c>
      <c r="E44" s="36">
        <f>_xll.KeyLookup($C$1,E$20,E$21,$A44)/$C$2</f>
        <v>10118</v>
      </c>
      <c r="F44" s="36">
        <f>_xll.KeyLookup($C$1,F$20,F$21,$A44)/$C$2</f>
        <v>10918</v>
      </c>
      <c r="G44" s="36">
        <f>_xll.KeyLookup($C$1,G$20,G$21,$A44)/$C$2</f>
        <v>12098</v>
      </c>
      <c r="H44" s="35">
        <f>_xll.KeyLookup($C$1,H$20,H$21,$A44)/$C$2</f>
        <v>13037</v>
      </c>
      <c r="I44" s="36">
        <f>_xll.KeyLookup($C$1,I$20,I$21,$A44)/$C$2</f>
        <v>13020</v>
      </c>
      <c r="J44" s="36">
        <f>_xll.KeyLookup($C$1,J$20,J$21,$A44)/$C$2</f>
        <v>13774</v>
      </c>
      <c r="K44" s="37">
        <f>_xll.KeyLookup($C$1,K$20,K$21,$A44)/$C$2</f>
        <v>14764</v>
      </c>
      <c r="L44" s="35">
        <f>_xll.KeyLookup($C$1,L$20,L$21,$A44)/$C$2</f>
        <v>15575</v>
      </c>
      <c r="M44" s="36">
        <f>_xll.KeyLookup($C$1,M$20,M$21,$A44)/$C$2</f>
        <v>14758</v>
      </c>
      <c r="N44" s="36">
        <f>_xll.KeyLookup($C$1,N$20,N$21,$A44)/$C$2</f>
        <v>15604</v>
      </c>
      <c r="O44" s="44">
        <f>N44</f>
        <v>15604</v>
      </c>
    </row>
    <row r="45" spans="1:15" x14ac:dyDescent="0.25">
      <c r="A45" s="32">
        <v>311</v>
      </c>
      <c r="B45" s="11" t="str">
        <f>_xll.KeyName($C$1,A45)</f>
        <v>Share capital</v>
      </c>
      <c r="C45" s="40">
        <f>_xll.KeyLookup($C$1,C$20,C$21,$A45)/$C$2</f>
        <v>1172</v>
      </c>
      <c r="D45" s="41">
        <f>_xll.KeyLookup($C$1,D$20,D$21,$A45)/$C$2</f>
        <v>1172</v>
      </c>
      <c r="E45" s="42">
        <f>_xll.KeyLookup($C$1,E$20,E$21,$A45)/$C$2</f>
        <v>1172</v>
      </c>
      <c r="F45" s="42">
        <f>_xll.KeyLookup($C$1,F$20,F$21,$A45)/$C$2</f>
        <v>1172</v>
      </c>
      <c r="G45" s="42">
        <f>_xll.KeyLookup($C$1,G$20,G$21,$A45)/$C$2</f>
        <v>1172</v>
      </c>
      <c r="H45" s="41">
        <f>_xll.KeyLookup($C$1,H$20,H$21,$A45)/$C$2</f>
        <v>1172</v>
      </c>
      <c r="I45" s="42">
        <f>_xll.KeyLookup($C$1,I$20,I$21,$A45)/$C$2</f>
        <v>1172</v>
      </c>
      <c r="J45" s="42">
        <f>_xll.KeyLookup($C$1,J$20,J$21,$A45)/$C$2</f>
        <v>1172</v>
      </c>
      <c r="K45" s="43">
        <f>_xll.KeyLookup($C$1,K$20,K$21,$A45)/$C$2</f>
        <v>1172</v>
      </c>
      <c r="L45" s="41">
        <f>_xll.KeyLookup($C$1,L$20,L$21,$A45)/$C$2</f>
        <v>1172</v>
      </c>
      <c r="M45" s="42">
        <f>_xll.KeyLookup($C$1,M$20,M$21,$A45)/$C$2</f>
        <v>1172</v>
      </c>
      <c r="N45" s="42">
        <f>_xll.KeyLookup($C$1,N$20,N$21,$A45)/$C$2</f>
        <v>1172</v>
      </c>
      <c r="O45" s="13">
        <f>N45</f>
        <v>1172</v>
      </c>
    </row>
    <row r="46" spans="1:15" x14ac:dyDescent="0.25">
      <c r="A46" s="32">
        <v>312</v>
      </c>
      <c r="B46" s="11" t="str">
        <f>_xll.KeyName($C$1,A46)</f>
        <v>Share premium</v>
      </c>
      <c r="C46" s="40">
        <f>_xll.KeyLookup($C$1,C$20,C$21,$A46)/$C$2</f>
        <v>1272</v>
      </c>
      <c r="D46" s="41">
        <f>_xll.KeyLookup($C$1,D$20,D$21,$A46)/$C$2</f>
        <v>1272</v>
      </c>
      <c r="E46" s="42">
        <f>_xll.KeyLookup($C$1,E$20,E$21,$A46)/$C$2</f>
        <v>1272</v>
      </c>
      <c r="F46" s="42">
        <f>_xll.KeyLookup($C$1,F$20,F$21,$A46)/$C$2</f>
        <v>1272</v>
      </c>
      <c r="G46" s="42">
        <f>_xll.KeyLookup($C$1,G$20,G$21,$A46)/$C$2</f>
        <v>1272</v>
      </c>
      <c r="H46" s="41">
        <f>_xll.KeyLookup($C$1,H$20,H$21,$A46)/$C$2</f>
        <v>1272</v>
      </c>
      <c r="I46" s="42">
        <f>_xll.KeyLookup($C$1,I$20,I$21,$A46)/$C$2</f>
        <v>1272</v>
      </c>
      <c r="J46" s="42">
        <f>_xll.KeyLookup($C$1,J$20,J$21,$A46)/$C$2</f>
        <v>1272</v>
      </c>
      <c r="K46" s="43">
        <f>_xll.KeyLookup($C$1,K$20,K$21,$A46)/$C$2</f>
        <v>1272</v>
      </c>
      <c r="L46" s="41">
        <f>_xll.KeyLookup($C$1,L$20,L$21,$A46)/$C$2</f>
        <v>1272</v>
      </c>
      <c r="M46" s="42">
        <f>_xll.KeyLookup($C$1,M$20,M$21,$A46)/$C$2</f>
        <v>1272</v>
      </c>
      <c r="N46" s="42">
        <f>_xll.KeyLookup($C$1,N$20,N$21,$A46)/$C$2</f>
        <v>1272</v>
      </c>
      <c r="O46" s="13">
        <f>N46</f>
        <v>1272</v>
      </c>
    </row>
    <row r="47" spans="1:15" x14ac:dyDescent="0.25">
      <c r="A47" s="32">
        <v>318</v>
      </c>
      <c r="B47" s="11" t="str">
        <f>_xll.KeyName($C$1,A47)</f>
        <v>Retained earnings</v>
      </c>
      <c r="C47" s="40">
        <f>_xll.KeyLookup($C$1,C$20,C$21,$A47)/$C$2</f>
        <v>6287</v>
      </c>
      <c r="D47" s="41">
        <f>_xll.KeyLookup($C$1,D$20,D$21,$A47)/$C$2</f>
        <v>7124</v>
      </c>
      <c r="E47" s="42">
        <f>_xll.KeyLookup($C$1,E$20,E$21,$A47)/$C$2</f>
        <v>7674</v>
      </c>
      <c r="F47" s="42">
        <f>_xll.KeyLookup($C$1,F$20,F$21,$A47)/$C$2</f>
        <v>8474</v>
      </c>
      <c r="G47" s="42">
        <f>_xll.KeyLookup($C$1,G$20,G$21,$A47)/$C$2</f>
        <v>9654</v>
      </c>
      <c r="H47" s="41">
        <f>_xll.KeyLookup($C$1,H$20,H$21,$A47)/$C$2</f>
        <v>10593</v>
      </c>
      <c r="I47" s="42">
        <f>_xll.KeyLookup($C$1,I$20,I$21,$A47)/$C$2</f>
        <v>10576</v>
      </c>
      <c r="J47" s="42">
        <f>_xll.KeyLookup($C$1,J$20,J$21,$A47)/$C$2</f>
        <v>11330</v>
      </c>
      <c r="K47" s="43">
        <f>_xll.KeyLookup($C$1,K$20,K$21,$A47)/$C$2</f>
        <v>12320</v>
      </c>
      <c r="L47" s="41">
        <f>_xll.KeyLookup($C$1,L$20,L$21,$A47)/$C$2</f>
        <v>13131</v>
      </c>
      <c r="M47" s="42">
        <f>_xll.KeyLookup($C$1,M$20,M$21,$A47)/$C$2</f>
        <v>12314</v>
      </c>
      <c r="N47" s="42">
        <f>_xll.KeyLookup($C$1,N$20,N$21,$A47)/$C$2</f>
        <v>13160</v>
      </c>
      <c r="O47" s="13">
        <f>N47</f>
        <v>13160</v>
      </c>
    </row>
    <row r="48" spans="1:15" x14ac:dyDescent="0.25">
      <c r="A48" s="32" t="s">
        <v>29</v>
      </c>
      <c r="B48" s="33" t="str">
        <f>_xll.KeyName($C$1,A48)</f>
        <v>Non Current Liabilities</v>
      </c>
      <c r="C48" s="34">
        <f>_xll.KeyLookup($C$1,C$20,C$21,$A48)/$C$2</f>
        <v>8948</v>
      </c>
      <c r="D48" s="35">
        <f>_xll.KeyLookup($C$1,D$20,D$21,$A48)/$C$2</f>
        <v>8490</v>
      </c>
      <c r="E48" s="36">
        <f>_xll.KeyLookup($C$1,E$20,E$21,$A48)/$C$2</f>
        <v>8124</v>
      </c>
      <c r="F48" s="36">
        <f>_xll.KeyLookup($C$1,F$20,F$21,$A48)/$C$2</f>
        <v>7156</v>
      </c>
      <c r="G48" s="36">
        <f>_xll.KeyLookup($C$1,G$20,G$21,$A48)/$C$2</f>
        <v>6738</v>
      </c>
      <c r="H48" s="35">
        <f>_xll.KeyLookup($C$1,H$20,H$21,$A48)/$C$2</f>
        <v>5321</v>
      </c>
      <c r="I48" s="36">
        <f>_xll.KeyLookup($C$1,I$20,I$21,$A48)/$C$2</f>
        <v>4536</v>
      </c>
      <c r="J48" s="36">
        <f>_xll.KeyLookup($C$1,J$20,J$21,$A48)/$C$2</f>
        <v>4535</v>
      </c>
      <c r="K48" s="37">
        <f>_xll.KeyLookup($C$1,K$20,K$21,$A48)/$C$2</f>
        <v>4791</v>
      </c>
      <c r="L48" s="35">
        <f>_xll.KeyLookup($C$1,L$20,L$21,$A48)/$C$2</f>
        <v>4794</v>
      </c>
      <c r="M48" s="36">
        <f>_xll.KeyLookup($C$1,M$20,M$21,$A48)/$C$2</f>
        <v>4255</v>
      </c>
      <c r="N48" s="36">
        <f>_xll.KeyLookup($C$1,N$20,N$21,$A48)/$C$2</f>
        <v>4916</v>
      </c>
      <c r="O48" s="44">
        <f>N48</f>
        <v>4916</v>
      </c>
    </row>
    <row r="49" spans="1:16" x14ac:dyDescent="0.25">
      <c r="A49" s="32">
        <v>411</v>
      </c>
      <c r="B49" s="11" t="str">
        <f>_xll.KeyName($C$1,A49)</f>
        <v>Loans and borrowings</v>
      </c>
      <c r="C49" s="40">
        <f>_xll.KeyLookup($C$1,C$20,C$21,$A49)/$C$2</f>
        <v>8275</v>
      </c>
      <c r="D49" s="41">
        <f>_xll.KeyLookup($C$1,D$20,D$21,$A49)/$C$2</f>
        <v>7617</v>
      </c>
      <c r="E49" s="42">
        <f>_xll.KeyLookup($C$1,E$20,E$21,$A49)/$C$2</f>
        <v>7454</v>
      </c>
      <c r="F49" s="42">
        <f>_xll.KeyLookup($C$1,F$20,F$21,$A49)/$C$2</f>
        <v>6319</v>
      </c>
      <c r="G49" s="42">
        <f>_xll.KeyLookup($C$1,G$20,G$21,$A49)/$C$2</f>
        <v>6154</v>
      </c>
      <c r="H49" s="41">
        <f>_xll.KeyLookup($C$1,H$20,H$21,$A49)/$C$2</f>
        <v>4515</v>
      </c>
      <c r="I49" s="42">
        <f>_xll.KeyLookup($C$1,I$20,I$21,$A49)/$C$2</f>
        <v>4071</v>
      </c>
      <c r="J49" s="42">
        <f>_xll.KeyLookup($C$1,J$20,J$21,$A49)/$C$2</f>
        <v>3764</v>
      </c>
      <c r="K49" s="43">
        <f>_xll.KeyLookup($C$1,K$20,K$21,$A49)/$C$2</f>
        <v>4239</v>
      </c>
      <c r="L49" s="41">
        <f>_xll.KeyLookup($C$1,L$20,L$21,$A49)/$C$2</f>
        <v>4052</v>
      </c>
      <c r="M49" s="42">
        <f>_xll.KeyLookup($C$1,M$20,M$21,$A49)/$C$2</f>
        <v>3866</v>
      </c>
      <c r="N49" s="42">
        <f>_xll.KeyLookup($C$1,N$20,N$21,$A49)/$C$2</f>
        <v>3680</v>
      </c>
      <c r="O49" s="13">
        <f>N49</f>
        <v>3680</v>
      </c>
    </row>
    <row r="50" spans="1:16" x14ac:dyDescent="0.25">
      <c r="A50" s="32">
        <v>415</v>
      </c>
      <c r="B50" s="11" t="str">
        <f>_xll.KeyName($C$1,A50)</f>
        <v>Incentives from operating leases</v>
      </c>
      <c r="C50" s="40">
        <f>_xll.KeyLookup($C$1,C$20,C$21,$A50)/$C$2</f>
        <v>110</v>
      </c>
      <c r="D50" s="41">
        <f>_xll.KeyLookup($C$1,D$20,D$21,$A50)/$C$2</f>
        <v>100</v>
      </c>
      <c r="E50" s="42">
        <f>_xll.KeyLookup($C$1,E$20,E$21,$A50)/$C$2</f>
        <v>89</v>
      </c>
      <c r="F50" s="42">
        <f>_xll.KeyLookup($C$1,F$20,F$21,$A50)/$C$2</f>
        <v>78</v>
      </c>
      <c r="G50" s="42">
        <f>_xll.KeyLookup($C$1,G$20,G$21,$A50)/$C$2</f>
        <v>68</v>
      </c>
      <c r="H50" s="41">
        <f>_xll.KeyLookup($C$1,H$20,H$21,$A50)/$C$2</f>
        <v>57</v>
      </c>
      <c r="I50" s="42">
        <f>_xll.KeyLookup($C$1,I$20,I$21,$A50)/$C$2</f>
        <v>46</v>
      </c>
      <c r="J50" s="42">
        <f>_xll.KeyLookup($C$1,J$20,J$21,$A50)/$C$2</f>
        <v>36</v>
      </c>
      <c r="K50" s="43">
        <f>_xll.KeyLookup($C$1,K$20,K$21,$A50)/$C$2</f>
        <v>25</v>
      </c>
      <c r="L50" s="41">
        <f>_xll.KeyLookup($C$1,L$20,L$21,$A50)/$C$2</f>
        <v>13</v>
      </c>
      <c r="M50" s="42">
        <f>_xll.KeyLookup($C$1,M$20,M$21,$A50)/$C$2</f>
        <v>4</v>
      </c>
      <c r="N50" s="42">
        <f>_xll.KeyLookup($C$1,N$20,N$21,$A50)/$C$2</f>
        <v>0</v>
      </c>
      <c r="O50" s="13">
        <f>N50</f>
        <v>0</v>
      </c>
    </row>
    <row r="51" spans="1:16" x14ac:dyDescent="0.25">
      <c r="A51" s="32">
        <v>417</v>
      </c>
      <c r="B51" s="11" t="str">
        <f>_xll.KeyName($C$1,A51)</f>
        <v>Deferred tax liability</v>
      </c>
      <c r="C51" s="40">
        <f>_xll.KeyLookup($C$1,C$20,C$21,$A51)/$C$2</f>
        <v>563</v>
      </c>
      <c r="D51" s="41">
        <f>_xll.KeyLookup($C$1,D$20,D$21,$A51)/$C$2</f>
        <v>773</v>
      </c>
      <c r="E51" s="42">
        <f>_xll.KeyLookup($C$1,E$20,E$21,$A51)/$C$2</f>
        <v>581</v>
      </c>
      <c r="F51" s="42">
        <f>_xll.KeyLookup($C$1,F$20,F$21,$A51)/$C$2</f>
        <v>759</v>
      </c>
      <c r="G51" s="42">
        <f>_xll.KeyLookup($C$1,G$20,G$21,$A51)/$C$2</f>
        <v>516</v>
      </c>
      <c r="H51" s="41">
        <f>_xll.KeyLookup($C$1,H$20,H$21,$A51)/$C$2</f>
        <v>749</v>
      </c>
      <c r="I51" s="42">
        <f>_xll.KeyLookup($C$1,I$20,I$21,$A51)/$C$2</f>
        <v>419</v>
      </c>
      <c r="J51" s="42">
        <f>_xll.KeyLookup($C$1,J$20,J$21,$A51)/$C$2</f>
        <v>735</v>
      </c>
      <c r="K51" s="43">
        <f>_xll.KeyLookup($C$1,K$20,K$21,$A51)/$C$2</f>
        <v>527</v>
      </c>
      <c r="L51" s="41">
        <f>_xll.KeyLookup($C$1,L$20,L$21,$A51)/$C$2</f>
        <v>729</v>
      </c>
      <c r="M51" s="42">
        <f>_xll.KeyLookup($C$1,M$20,M$21,$A51)/$C$2</f>
        <v>385</v>
      </c>
      <c r="N51" s="42">
        <f>_xll.KeyLookup($C$1,N$20,N$21,$A51)/$C$2</f>
        <v>1236</v>
      </c>
      <c r="O51" s="13">
        <f>N51</f>
        <v>1236</v>
      </c>
    </row>
    <row r="52" spans="1:16" x14ac:dyDescent="0.25">
      <c r="A52" s="32" t="s">
        <v>30</v>
      </c>
      <c r="B52" s="33" t="str">
        <f>_xll.KeyName($C$1,A52)</f>
        <v>Current Liabilities</v>
      </c>
      <c r="C52" s="34">
        <f>_xll.KeyLookup($C$1,C$20,C$21,$A52)/$C$2</f>
        <v>8035</v>
      </c>
      <c r="D52" s="35">
        <f>_xll.KeyLookup($C$1,D$20,D$21,$A52)/$C$2</f>
        <v>8216</v>
      </c>
      <c r="E52" s="36">
        <f>_xll.KeyLookup($C$1,E$20,E$21,$A52)/$C$2</f>
        <v>8625</v>
      </c>
      <c r="F52" s="36">
        <f>_xll.KeyLookup($C$1,F$20,F$21,$A52)/$C$2</f>
        <v>8558</v>
      </c>
      <c r="G52" s="36">
        <f>_xll.KeyLookup($C$1,G$20,G$21,$A52)/$C$2</f>
        <v>7769</v>
      </c>
      <c r="H52" s="35">
        <f>_xll.KeyLookup($C$1,H$20,H$21,$A52)/$C$2</f>
        <v>8394</v>
      </c>
      <c r="I52" s="36">
        <f>_xll.KeyLookup($C$1,I$20,I$21,$A52)/$C$2</f>
        <v>8897</v>
      </c>
      <c r="J52" s="36">
        <f>_xll.KeyLookup($C$1,J$20,J$21,$A52)/$C$2</f>
        <v>9168</v>
      </c>
      <c r="K52" s="37">
        <f>_xll.KeyLookup($C$1,K$20,K$21,$A52)/$C$2</f>
        <v>8054</v>
      </c>
      <c r="L52" s="35">
        <f>_xll.KeyLookup($C$1,L$20,L$21,$A52)/$C$2</f>
        <v>8903</v>
      </c>
      <c r="M52" s="36">
        <f>_xll.KeyLookup($C$1,M$20,M$21,$A52)/$C$2</f>
        <v>8961</v>
      </c>
      <c r="N52" s="36">
        <f>_xll.KeyLookup($C$1,N$20,N$21,$A52)/$C$2</f>
        <v>9208</v>
      </c>
      <c r="O52" s="44">
        <f>N52</f>
        <v>9208</v>
      </c>
    </row>
    <row r="53" spans="1:16" x14ac:dyDescent="0.25">
      <c r="A53" s="32">
        <v>421</v>
      </c>
      <c r="B53" s="11" t="str">
        <f>_xll.KeyName($C$1,A53)</f>
        <v>Trade and other payables</v>
      </c>
      <c r="C53" s="40">
        <f>_xll.KeyLookup($C$1,C$20,C$21,$A53)/$C$2</f>
        <v>6610</v>
      </c>
      <c r="D53" s="41">
        <f>_xll.KeyLookup($C$1,D$20,D$21,$A53)/$C$2</f>
        <v>6876</v>
      </c>
      <c r="E53" s="42">
        <f>_xll.KeyLookup($C$1,E$20,E$21,$A53)/$C$2</f>
        <v>6947</v>
      </c>
      <c r="F53" s="42">
        <f>_xll.KeyLookup($C$1,F$20,F$21,$A53)/$C$2</f>
        <v>6973</v>
      </c>
      <c r="G53" s="42">
        <f>_xll.KeyLookup($C$1,G$20,G$21,$A53)/$C$2</f>
        <v>6076</v>
      </c>
      <c r="H53" s="41">
        <f>_xll.KeyLookup($C$1,H$20,H$21,$A53)/$C$2</f>
        <v>6875</v>
      </c>
      <c r="I53" s="42">
        <f>_xll.KeyLookup($C$1,I$20,I$21,$A53)/$C$2</f>
        <v>7153</v>
      </c>
      <c r="J53" s="42">
        <f>_xll.KeyLookup($C$1,J$20,J$21,$A53)/$C$2</f>
        <v>7366</v>
      </c>
      <c r="K53" s="43">
        <f>_xll.KeyLookup($C$1,K$20,K$21,$A53)/$C$2</f>
        <v>6375</v>
      </c>
      <c r="L53" s="41">
        <f>_xll.KeyLookup($C$1,L$20,L$21,$A53)/$C$2</f>
        <v>7484</v>
      </c>
      <c r="M53" s="42">
        <f>_xll.KeyLookup($C$1,M$20,M$21,$A53)/$C$2</f>
        <v>7187</v>
      </c>
      <c r="N53" s="42">
        <f>_xll.KeyLookup($C$1,N$20,N$21,$A53)/$C$2</f>
        <v>7399</v>
      </c>
      <c r="O53" s="13">
        <f>N53</f>
        <v>7399</v>
      </c>
    </row>
    <row r="54" spans="1:16" x14ac:dyDescent="0.25">
      <c r="A54" s="32">
        <v>422</v>
      </c>
      <c r="B54" s="11" t="str">
        <f>_xll.KeyName($C$1,A54)</f>
        <v>Loans and borrowings</v>
      </c>
      <c r="C54" s="40">
        <f>_xll.KeyLookup($C$1,C$20,C$21,$A54)/$C$2</f>
        <v>667</v>
      </c>
      <c r="D54" s="41">
        <f>_xll.KeyLookup($C$1,D$20,D$21,$A54)/$C$2</f>
        <v>670</v>
      </c>
      <c r="E54" s="42">
        <f>_xll.KeyLookup($C$1,E$20,E$21,$A54)/$C$2</f>
        <v>668</v>
      </c>
      <c r="F54" s="42">
        <f>_xll.KeyLookup($C$1,F$20,F$21,$A54)/$C$2</f>
        <v>669</v>
      </c>
      <c r="G54" s="42">
        <f>_xll.KeyLookup($C$1,G$20,G$21,$A54)/$C$2</f>
        <v>669</v>
      </c>
      <c r="H54" s="41">
        <f>_xll.KeyLookup($C$1,H$20,H$21,$A54)/$C$2</f>
        <v>670</v>
      </c>
      <c r="I54" s="42">
        <f>_xll.KeyLookup($C$1,I$20,I$21,$A54)/$C$2</f>
        <v>463</v>
      </c>
      <c r="J54" s="42">
        <f>_xll.KeyLookup($C$1,J$20,J$21,$A54)/$C$2</f>
        <v>671</v>
      </c>
      <c r="K54" s="43">
        <f>_xll.KeyLookup($C$1,K$20,K$21,$A54)/$C$2</f>
        <v>749</v>
      </c>
      <c r="L54" s="41">
        <f>_xll.KeyLookup($C$1,L$20,L$21,$A54)/$C$2</f>
        <v>750</v>
      </c>
      <c r="M54" s="42">
        <f>_xll.KeyLookup($C$1,M$20,M$21,$A54)/$C$2</f>
        <v>751</v>
      </c>
      <c r="N54" s="42">
        <f>_xll.KeyLookup($C$1,N$20,N$21,$A54)/$C$2</f>
        <v>752</v>
      </c>
      <c r="O54" s="13">
        <f>N54</f>
        <v>752</v>
      </c>
    </row>
    <row r="55" spans="1:16" x14ac:dyDescent="0.25">
      <c r="A55" s="32">
        <v>425</v>
      </c>
      <c r="B55" s="11" t="str">
        <f>_xll.KeyName($C$1,A55)</f>
        <v>Current tax liabilities</v>
      </c>
      <c r="C55" s="40">
        <f>_xll.KeyLookup($C$1,C$20,C$21,$A55)/$C$2</f>
        <v>606</v>
      </c>
      <c r="D55" s="41">
        <f>_xll.KeyLookup($C$1,D$20,D$21,$A55)/$C$2</f>
        <v>518</v>
      </c>
      <c r="E55" s="42">
        <f>_xll.KeyLookup($C$1,E$20,E$21,$A55)/$C$2</f>
        <v>858</v>
      </c>
      <c r="F55" s="42">
        <f>_xll.KeyLookup($C$1,F$20,F$21,$A55)/$C$2</f>
        <v>764</v>
      </c>
      <c r="G55" s="42">
        <f>_xll.KeyLookup($C$1,G$20,G$21,$A55)/$C$2</f>
        <v>938</v>
      </c>
      <c r="H55" s="41">
        <f>_xll.KeyLookup($C$1,H$20,H$21,$A55)/$C$2</f>
        <v>763</v>
      </c>
      <c r="I55" s="42">
        <f>_xll.KeyLookup($C$1,I$20,I$21,$A55)/$C$2</f>
        <v>1212</v>
      </c>
      <c r="J55" s="42">
        <f>_xll.KeyLookup($C$1,J$20,J$21,$A55)/$C$2</f>
        <v>1062</v>
      </c>
      <c r="K55" s="43">
        <f>_xll.KeyLookup($C$1,K$20,K$21,$A55)/$C$2</f>
        <v>880</v>
      </c>
      <c r="L55" s="41">
        <f>_xll.KeyLookup($C$1,L$20,L$21,$A55)/$C$2</f>
        <v>619</v>
      </c>
      <c r="M55" s="42">
        <f>_xll.KeyLookup($C$1,M$20,M$21,$A55)/$C$2</f>
        <v>993</v>
      </c>
      <c r="N55" s="42">
        <f>_xll.KeyLookup($C$1,N$20,N$21,$A55)/$C$2</f>
        <v>1027</v>
      </c>
      <c r="O55" s="13">
        <f>N55</f>
        <v>1027</v>
      </c>
    </row>
    <row r="56" spans="1:16" x14ac:dyDescent="0.25">
      <c r="A56" s="32">
        <v>426</v>
      </c>
      <c r="B56" s="11" t="str">
        <f>_xll.KeyName($C$1,A56)</f>
        <v>Provisions</v>
      </c>
      <c r="C56" s="40">
        <f>_xll.KeyLookup($C$1,C$20,C$21,$A56)/$C$2</f>
        <v>152</v>
      </c>
      <c r="D56" s="41">
        <f>_xll.KeyLookup($C$1,D$20,D$21,$A56)/$C$2</f>
        <v>152</v>
      </c>
      <c r="E56" s="42">
        <f>_xll.KeyLookup($C$1,E$20,E$21,$A56)/$C$2</f>
        <v>152</v>
      </c>
      <c r="F56" s="42">
        <f>_xll.KeyLookup($C$1,F$20,F$21,$A56)/$C$2</f>
        <v>152</v>
      </c>
      <c r="G56" s="42">
        <f>_xll.KeyLookup($C$1,G$20,G$21,$A56)/$C$2</f>
        <v>86</v>
      </c>
      <c r="H56" s="41">
        <f>_xll.KeyLookup($C$1,H$20,H$21,$A56)/$C$2</f>
        <v>86</v>
      </c>
      <c r="I56" s="42">
        <f>_xll.KeyLookup($C$1,I$20,I$21,$A56)/$C$2</f>
        <v>69</v>
      </c>
      <c r="J56" s="42">
        <f>_xll.KeyLookup($C$1,J$20,J$21,$A56)/$C$2</f>
        <v>69</v>
      </c>
      <c r="K56" s="43">
        <f>_xll.KeyLookup($C$1,K$20,K$21,$A56)/$C$2</f>
        <v>50</v>
      </c>
      <c r="L56" s="41">
        <f>_xll.KeyLookup($C$1,L$20,L$21,$A56)/$C$2</f>
        <v>50</v>
      </c>
      <c r="M56" s="42">
        <f>_xll.KeyLookup($C$1,M$20,M$21,$A56)/$C$2</f>
        <v>30</v>
      </c>
      <c r="N56" s="42">
        <f>_xll.KeyLookup($C$1,N$20,N$21,$A56)/$C$2</f>
        <v>30</v>
      </c>
      <c r="O56" s="13">
        <f>N56</f>
        <v>30</v>
      </c>
    </row>
    <row r="57" spans="1:16" x14ac:dyDescent="0.25">
      <c r="A57" s="32" t="s">
        <v>36</v>
      </c>
      <c r="B57" s="33" t="str">
        <f>_xll.KeyName($C$1,A57)</f>
        <v>Total Liabilities</v>
      </c>
      <c r="C57" s="34">
        <f>_xll.KeyLookup($C$1,C$20,C$21,$A57)/$C$2</f>
        <v>16983</v>
      </c>
      <c r="D57" s="35">
        <f>_xll.KeyLookup($C$1,D$20,D$21,$A57)/$C$2</f>
        <v>16706</v>
      </c>
      <c r="E57" s="36">
        <f>_xll.KeyLookup($C$1,E$20,E$21,$A57)/$C$2</f>
        <v>16749</v>
      </c>
      <c r="F57" s="36">
        <f>_xll.KeyLookup($C$1,F$20,F$21,$A57)/$C$2</f>
        <v>15714</v>
      </c>
      <c r="G57" s="36">
        <f>_xll.KeyLookup($C$1,G$20,G$21,$A57)/$C$2</f>
        <v>14507</v>
      </c>
      <c r="H57" s="35">
        <f>_xll.KeyLookup($C$1,H$20,H$21,$A57)/$C$2</f>
        <v>13715</v>
      </c>
      <c r="I57" s="36">
        <f>_xll.KeyLookup($C$1,I$20,I$21,$A57)/$C$2</f>
        <v>13433</v>
      </c>
      <c r="J57" s="36">
        <f>_xll.KeyLookup($C$1,J$20,J$21,$A57)/$C$2</f>
        <v>13703</v>
      </c>
      <c r="K57" s="37">
        <f>_xll.KeyLookup($C$1,K$20,K$21,$A57)/$C$2</f>
        <v>12845</v>
      </c>
      <c r="L57" s="35">
        <f>_xll.KeyLookup($C$1,L$20,L$21,$A57)/$C$2</f>
        <v>13697</v>
      </c>
      <c r="M57" s="36">
        <f>_xll.KeyLookup($C$1,M$20,M$21,$A57)/$C$2</f>
        <v>13216</v>
      </c>
      <c r="N57" s="36">
        <f>_xll.KeyLookup($C$1,N$20,N$21,$A57)/$C$2</f>
        <v>14124</v>
      </c>
      <c r="O57" s="44">
        <f>N57</f>
        <v>14124</v>
      </c>
    </row>
    <row r="58" spans="1:16" x14ac:dyDescent="0.25">
      <c r="A58" s="49" t="s">
        <v>37</v>
      </c>
      <c r="B58" s="63" t="str">
        <f>_xll.KeyName($C$1,A58)</f>
        <v>Equity and Liabilities</v>
      </c>
      <c r="C58" s="64">
        <f>_xll.KeyLookup($C$1,C$20,C$21,$A58)/$C$2</f>
        <v>25714</v>
      </c>
      <c r="D58" s="65">
        <f>_xll.KeyLookup($C$1,D$20,D$21,$A58)/$C$2</f>
        <v>26274</v>
      </c>
      <c r="E58" s="64">
        <f>_xll.KeyLookup($C$1,E$20,E$21,$A58)/$C$2</f>
        <v>26867</v>
      </c>
      <c r="F58" s="64">
        <f>_xll.KeyLookup($C$1,F$20,F$21,$A58)/$C$2</f>
        <v>26632</v>
      </c>
      <c r="G58" s="64">
        <f>_xll.KeyLookup($C$1,G$20,G$21,$A58)/$C$2</f>
        <v>26605</v>
      </c>
      <c r="H58" s="65">
        <f>_xll.KeyLookup($C$1,H$20,H$21,$A58)/$C$2</f>
        <v>26752</v>
      </c>
      <c r="I58" s="64">
        <f>_xll.KeyLookup($C$1,I$20,I$21,$A58)/$C$2</f>
        <v>26453</v>
      </c>
      <c r="J58" s="64">
        <f>_xll.KeyLookup($C$1,J$20,J$21,$A58)/$C$2</f>
        <v>27477</v>
      </c>
      <c r="K58" s="66">
        <f>_xll.KeyLookup($C$1,K$20,K$21,$A58)/$C$2</f>
        <v>27609</v>
      </c>
      <c r="L58" s="65">
        <f>_xll.KeyLookup($C$1,L$20,L$21,$A58)/$C$2</f>
        <v>29272</v>
      </c>
      <c r="M58" s="64">
        <f>_xll.KeyLookup($C$1,M$20,M$21,$A58)/$C$2</f>
        <v>27974</v>
      </c>
      <c r="N58" s="64">
        <f>_xll.KeyLookup($C$1,N$20,N$21,$A58)/$C$2</f>
        <v>29728</v>
      </c>
      <c r="O58" s="67">
        <f>N58</f>
        <v>29728</v>
      </c>
    </row>
    <row r="59" spans="1:16" x14ac:dyDescent="0.25">
      <c r="A59" s="62"/>
      <c r="B59" s="19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20"/>
    </row>
    <row r="60" spans="1:16" x14ac:dyDescent="0.25">
      <c r="A60" s="62"/>
      <c r="B60" s="19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20"/>
    </row>
    <row r="61" spans="1:16" x14ac:dyDescent="0.25">
      <c r="B61" s="58" t="s">
        <v>40</v>
      </c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</row>
    <row r="62" spans="1:16" x14ac:dyDescent="0.25">
      <c r="B62" s="69" t="s">
        <v>41</v>
      </c>
      <c r="C62" s="69" t="s">
        <v>42</v>
      </c>
      <c r="D62" s="69" t="s">
        <v>43</v>
      </c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1:16" x14ac:dyDescent="0.25">
      <c r="B63" s="11" t="s">
        <v>45</v>
      </c>
      <c r="C63" s="40">
        <v>133064721</v>
      </c>
      <c r="D63" s="70">
        <v>0.11358</v>
      </c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spans="1:16" x14ac:dyDescent="0.25">
      <c r="B64" s="11" t="s">
        <v>46</v>
      </c>
      <c r="C64" s="40">
        <v>104666848</v>
      </c>
      <c r="D64" s="70">
        <v>8.9340000000000003E-2</v>
      </c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 spans="2:16" x14ac:dyDescent="0.25">
      <c r="B65" s="11" t="s">
        <v>47</v>
      </c>
      <c r="C65" s="40">
        <v>103600000</v>
      </c>
      <c r="D65" s="70">
        <v>8.8429999999999995E-2</v>
      </c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2:16" x14ac:dyDescent="0.25">
      <c r="B66" s="11" t="s">
        <v>44</v>
      </c>
      <c r="C66" s="40">
        <v>95851852</v>
      </c>
      <c r="D66" s="70">
        <v>8.1820000000000004E-2</v>
      </c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</row>
    <row r="67" spans="2:16" x14ac:dyDescent="0.25">
      <c r="B67" s="11" t="s">
        <v>48</v>
      </c>
      <c r="C67" s="40">
        <v>61719634</v>
      </c>
      <c r="D67" s="70">
        <v>5.2679999999999998E-2</v>
      </c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</row>
    <row r="68" spans="2:16" x14ac:dyDescent="0.25">
      <c r="B68" s="11" t="s">
        <v>53</v>
      </c>
      <c r="C68" s="40">
        <v>37740000</v>
      </c>
      <c r="D68" s="70">
        <v>3.2219999999999999E-2</v>
      </c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</row>
    <row r="69" spans="2:16" x14ac:dyDescent="0.25">
      <c r="B69" s="11" t="s">
        <v>52</v>
      </c>
      <c r="C69" s="40">
        <v>36657535</v>
      </c>
      <c r="D69" s="70">
        <v>3.1289999999999998E-2</v>
      </c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2:16" x14ac:dyDescent="0.25">
      <c r="B70" s="11" t="s">
        <v>51</v>
      </c>
      <c r="C70" s="40">
        <v>31902423</v>
      </c>
      <c r="D70" s="70">
        <v>2.7230000000000001E-2</v>
      </c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</row>
    <row r="71" spans="2:16" x14ac:dyDescent="0.25">
      <c r="B71" s="11" t="s">
        <v>64</v>
      </c>
      <c r="C71" s="40">
        <v>31089738</v>
      </c>
      <c r="D71" s="70">
        <v>2.6540000000000001E-2</v>
      </c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</row>
    <row r="72" spans="2:16" x14ac:dyDescent="0.25">
      <c r="B72" s="11" t="s">
        <v>54</v>
      </c>
      <c r="C72" s="40">
        <v>29846756</v>
      </c>
      <c r="D72" s="70">
        <v>2.5479999999999999E-2</v>
      </c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</row>
    <row r="73" spans="2:16" x14ac:dyDescent="0.25">
      <c r="B73" s="11" t="s">
        <v>49</v>
      </c>
      <c r="C73" s="40">
        <v>27531148</v>
      </c>
      <c r="D73" s="70">
        <v>2.35E-2</v>
      </c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</row>
    <row r="74" spans="2:16" x14ac:dyDescent="0.25">
      <c r="B74" s="11" t="s">
        <v>57</v>
      </c>
      <c r="C74" s="40">
        <v>26940975</v>
      </c>
      <c r="D74" s="70">
        <v>2.3E-2</v>
      </c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</row>
    <row r="75" spans="2:16" x14ac:dyDescent="0.25">
      <c r="B75" s="11" t="s">
        <v>55</v>
      </c>
      <c r="C75" s="40">
        <v>25375936</v>
      </c>
      <c r="D75" s="70">
        <v>2.1659999999999999E-2</v>
      </c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</row>
    <row r="76" spans="2:16" x14ac:dyDescent="0.25">
      <c r="B76" s="11" t="s">
        <v>67</v>
      </c>
      <c r="C76" s="40">
        <v>24454426</v>
      </c>
      <c r="D76" s="70">
        <v>2.087E-2</v>
      </c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</row>
    <row r="77" spans="2:16" x14ac:dyDescent="0.25">
      <c r="B77" s="11" t="s">
        <v>63</v>
      </c>
      <c r="C77" s="40">
        <v>24007656</v>
      </c>
      <c r="D77" s="70">
        <v>2.0490000000000001E-2</v>
      </c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</row>
    <row r="78" spans="2:16" x14ac:dyDescent="0.25">
      <c r="B78" s="11" t="s">
        <v>66</v>
      </c>
      <c r="C78" s="40">
        <v>18853129</v>
      </c>
      <c r="D78" s="70">
        <v>1.609E-2</v>
      </c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</row>
    <row r="79" spans="2:16" x14ac:dyDescent="0.25">
      <c r="B79" s="11" t="s">
        <v>65</v>
      </c>
      <c r="C79" s="40">
        <v>18255701</v>
      </c>
      <c r="D79" s="70">
        <v>1.558E-2</v>
      </c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</row>
    <row r="80" spans="2:16" x14ac:dyDescent="0.25">
      <c r="B80" s="11" t="s">
        <v>50</v>
      </c>
      <c r="C80" s="40">
        <v>18150000</v>
      </c>
      <c r="D80" s="70">
        <v>1.549E-2</v>
      </c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</row>
    <row r="81" spans="2:16" x14ac:dyDescent="0.25">
      <c r="B81" s="11" t="s">
        <v>68</v>
      </c>
      <c r="C81" s="40">
        <v>17224650</v>
      </c>
      <c r="D81" s="70">
        <v>1.47E-2</v>
      </c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</row>
    <row r="82" spans="2:16" x14ac:dyDescent="0.25">
      <c r="B82" s="11" t="s">
        <v>56</v>
      </c>
      <c r="C82" s="40">
        <v>16482300</v>
      </c>
      <c r="D82" s="70">
        <v>1.4069999999999999E-2</v>
      </c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</row>
    <row r="83" spans="2:16" x14ac:dyDescent="0.25">
      <c r="B83" s="15" t="s">
        <v>58</v>
      </c>
      <c r="C83" s="15"/>
      <c r="D83" s="71">
        <f>1-SUM(D63:D82)</f>
        <v>0.24593999999999983</v>
      </c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2:16" x14ac:dyDescent="0.25">
      <c r="B84" s="11"/>
      <c r="C84" s="11"/>
      <c r="D84" s="72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</row>
    <row r="85" spans="2:16" x14ac:dyDescent="0.25">
      <c r="B85" s="1" t="s">
        <v>59</v>
      </c>
      <c r="C85" s="11"/>
      <c r="H85" s="11"/>
      <c r="I85" s="11"/>
      <c r="J85" s="11"/>
      <c r="K85" s="11"/>
      <c r="L85" s="11"/>
      <c r="M85" s="11"/>
      <c r="N85" s="11"/>
      <c r="O85" s="11"/>
      <c r="P85" s="11"/>
    </row>
    <row r="86" spans="2:16" x14ac:dyDescent="0.25">
      <c r="B86" s="73" t="s">
        <v>47</v>
      </c>
      <c r="C86" s="11"/>
      <c r="H86" s="11"/>
      <c r="I86" s="11"/>
      <c r="J86" s="11"/>
      <c r="K86" s="11"/>
      <c r="L86" s="11"/>
      <c r="M86" s="11"/>
      <c r="N86" s="11"/>
      <c r="O86" s="11"/>
      <c r="P86" s="11"/>
    </row>
    <row r="87" spans="2:16" x14ac:dyDescent="0.25">
      <c r="B87" s="11"/>
      <c r="H87" s="11"/>
      <c r="I87" s="11"/>
      <c r="J87" s="11"/>
      <c r="K87" s="11"/>
      <c r="L87" s="11"/>
      <c r="M87" s="11"/>
      <c r="N87" s="11"/>
      <c r="O87" s="11"/>
      <c r="P87" s="11"/>
    </row>
    <row r="88" spans="2:16" x14ac:dyDescent="0.25">
      <c r="B88" s="74" t="s">
        <v>60</v>
      </c>
      <c r="C88" s="74" t="s">
        <v>42</v>
      </c>
      <c r="D88" s="74" t="s">
        <v>61</v>
      </c>
      <c r="E88" s="74" t="s">
        <v>62</v>
      </c>
      <c r="H88" s="11"/>
      <c r="I88" s="11"/>
      <c r="J88" s="11"/>
      <c r="K88" s="11"/>
      <c r="L88" s="11"/>
      <c r="M88" s="11"/>
      <c r="N88" s="11"/>
      <c r="O88" s="11"/>
      <c r="P88" s="11"/>
    </row>
    <row r="89" spans="2:16" x14ac:dyDescent="0.25">
      <c r="B89" s="75">
        <f>_xll.CompanyOwnerLatestDateD($C$1,O5)</f>
        <v>42376</v>
      </c>
      <c r="C89" s="40">
        <f>_xll.CompanyOwnerLatestSharesD($B$86,$C$1,B89)</f>
        <v>103600000</v>
      </c>
      <c r="D89" s="40">
        <f t="shared" ref="D89:D102" si="12">IFERROR(C89-C90,"-")</f>
        <v>0</v>
      </c>
      <c r="E89" s="11">
        <f>_xll.LastPriceD($C$1,B89)</f>
        <v>46.1</v>
      </c>
      <c r="H89" s="11"/>
      <c r="I89" s="11"/>
      <c r="J89" s="11"/>
      <c r="K89" s="11"/>
      <c r="L89" s="11"/>
      <c r="M89" s="11"/>
      <c r="N89" s="11"/>
      <c r="O89" s="11"/>
      <c r="P89" s="11"/>
    </row>
    <row r="90" spans="2:16" x14ac:dyDescent="0.25">
      <c r="B90" s="75">
        <f>_xll.CompanyOwnerLatestDateD($C$1,B89-1)</f>
        <v>42369</v>
      </c>
      <c r="C90" s="40">
        <f>_xll.CompanyOwnerLatestSharesD($B$86,$C$1,B90)</f>
        <v>103600000</v>
      </c>
      <c r="D90" s="40">
        <f t="shared" si="12"/>
        <v>0</v>
      </c>
      <c r="E90" s="11">
        <f>_xll.LastPriceD($C$1,B90)</f>
        <v>44.8</v>
      </c>
      <c r="H90" s="11"/>
      <c r="I90" s="11"/>
      <c r="J90" s="11"/>
      <c r="K90" s="11"/>
      <c r="L90" s="11"/>
      <c r="M90" s="11"/>
      <c r="N90" s="11"/>
      <c r="O90" s="11"/>
      <c r="P90" s="11"/>
    </row>
    <row r="91" spans="2:16" x14ac:dyDescent="0.25">
      <c r="B91" s="75">
        <f>_xll.CompanyOwnerLatestDateD($C$1,B90-1)</f>
        <v>42361</v>
      </c>
      <c r="C91" s="40">
        <f>_xll.CompanyOwnerLatestSharesD($B$86,$C$1,B91)</f>
        <v>103600000</v>
      </c>
      <c r="D91" s="40">
        <f t="shared" si="12"/>
        <v>0</v>
      </c>
      <c r="E91" s="11">
        <f>_xll.LastPriceD($C$1,B91)</f>
        <v>44.55</v>
      </c>
      <c r="H91" s="11"/>
      <c r="I91" s="11"/>
      <c r="J91" s="11"/>
      <c r="K91" s="11"/>
      <c r="L91" s="11"/>
      <c r="M91" s="11"/>
      <c r="N91" s="11"/>
      <c r="O91" s="11"/>
      <c r="P91" s="11"/>
    </row>
    <row r="92" spans="2:16" x14ac:dyDescent="0.25">
      <c r="B92" s="75">
        <f>_xll.CompanyOwnerLatestDateD($C$1,B91-1)</f>
        <v>42355</v>
      </c>
      <c r="C92" s="40">
        <f>_xll.CompanyOwnerLatestSharesD($B$86,$C$1,B92)</f>
        <v>103600000</v>
      </c>
      <c r="D92" s="40">
        <f t="shared" si="12"/>
        <v>0</v>
      </c>
      <c r="E92" s="11">
        <f>_xll.LastPriceD($C$1,B92)</f>
        <v>45.1</v>
      </c>
      <c r="H92" s="11"/>
      <c r="I92" s="11"/>
      <c r="J92" s="11"/>
      <c r="K92" s="11"/>
      <c r="L92" s="11"/>
      <c r="M92" s="11"/>
      <c r="N92" s="11"/>
      <c r="O92" s="11"/>
      <c r="P92" s="11"/>
    </row>
    <row r="93" spans="2:16" x14ac:dyDescent="0.25">
      <c r="B93" s="75">
        <f>_xll.CompanyOwnerLatestDateD($C$1,B92-1)</f>
        <v>42348</v>
      </c>
      <c r="C93" s="40">
        <f>_xll.CompanyOwnerLatestSharesD($B$86,$C$1,B93)</f>
        <v>103600000</v>
      </c>
      <c r="D93" s="40">
        <f t="shared" si="12"/>
        <v>-1400000</v>
      </c>
      <c r="E93" s="11">
        <f>_xll.LastPriceD($C$1,B93)</f>
        <v>45.75</v>
      </c>
      <c r="H93" s="11"/>
      <c r="I93" s="11"/>
      <c r="J93" s="11"/>
      <c r="K93" s="11"/>
      <c r="L93" s="11"/>
      <c r="M93" s="11"/>
      <c r="N93" s="11"/>
      <c r="O93" s="11"/>
      <c r="P93" s="11"/>
    </row>
    <row r="94" spans="2:16" x14ac:dyDescent="0.25">
      <c r="B94" s="75">
        <f>_xll.CompanyOwnerLatestDateD($C$1,B93-1)</f>
        <v>42341</v>
      </c>
      <c r="C94" s="40">
        <f>_xll.CompanyOwnerLatestSharesD($B$86,$C$1,B94)</f>
        <v>105000000</v>
      </c>
      <c r="D94" s="40">
        <f t="shared" si="12"/>
        <v>0</v>
      </c>
      <c r="E94" s="11">
        <f>_xll.LastPriceD($C$1,B94)</f>
        <v>45.5</v>
      </c>
      <c r="H94" s="11"/>
      <c r="I94" s="11"/>
      <c r="J94" s="11"/>
      <c r="K94" s="11"/>
      <c r="L94" s="11"/>
      <c r="M94" s="11"/>
      <c r="N94" s="11"/>
      <c r="O94" s="11"/>
      <c r="P94" s="11"/>
    </row>
    <row r="95" spans="2:16" x14ac:dyDescent="0.25">
      <c r="B95" s="75">
        <f>_xll.CompanyOwnerLatestDateD($C$1,B94-1)</f>
        <v>42334</v>
      </c>
      <c r="C95" s="40">
        <f>_xll.CompanyOwnerLatestSharesD($B$86,$C$1,B95)</f>
        <v>105000000</v>
      </c>
      <c r="D95" s="40">
        <f t="shared" si="12"/>
        <v>0</v>
      </c>
      <c r="E95" s="11">
        <f>_xll.LastPriceD($C$1,B95)</f>
        <v>44.1</v>
      </c>
      <c r="H95" s="11"/>
      <c r="I95" s="11"/>
      <c r="J95" s="11"/>
      <c r="K95" s="11"/>
      <c r="L95" s="11"/>
      <c r="M95" s="11"/>
      <c r="N95" s="11"/>
      <c r="O95" s="11"/>
      <c r="P95" s="11"/>
    </row>
    <row r="96" spans="2:16" x14ac:dyDescent="0.25">
      <c r="B96" s="75">
        <f>_xll.CompanyOwnerLatestDateD($C$1,B95-1)</f>
        <v>42327</v>
      </c>
      <c r="C96" s="40">
        <f>_xll.CompanyOwnerLatestSharesD($B$86,$C$1,B96)</f>
        <v>105000000</v>
      </c>
      <c r="D96" s="40">
        <f t="shared" si="12"/>
        <v>0</v>
      </c>
      <c r="E96" s="11">
        <f>_xll.LastPriceD($C$1,B96)</f>
        <v>44</v>
      </c>
      <c r="H96" s="11"/>
      <c r="I96" s="11"/>
      <c r="J96" s="11"/>
      <c r="K96" s="11"/>
      <c r="L96" s="11"/>
      <c r="M96" s="11"/>
      <c r="N96" s="11"/>
      <c r="O96" s="11"/>
      <c r="P96" s="11"/>
    </row>
    <row r="97" spans="2:16" x14ac:dyDescent="0.25">
      <c r="B97" s="75">
        <f>_xll.CompanyOwnerLatestDateD($C$1,B96-1)</f>
        <v>42320</v>
      </c>
      <c r="C97" s="40">
        <f>_xll.CompanyOwnerLatestSharesD($B$86,$C$1,B97)</f>
        <v>105000000</v>
      </c>
      <c r="D97" s="40">
        <f t="shared" si="12"/>
        <v>0</v>
      </c>
      <c r="E97" s="11">
        <f>_xll.LastPriceD($C$1,B97)</f>
        <v>44.65</v>
      </c>
      <c r="H97" s="11"/>
      <c r="I97" s="11"/>
      <c r="J97" s="11"/>
      <c r="K97" s="11"/>
      <c r="L97" s="11"/>
      <c r="M97" s="11"/>
      <c r="N97" s="11"/>
      <c r="O97" s="11"/>
      <c r="P97" s="11"/>
    </row>
    <row r="98" spans="2:16" x14ac:dyDescent="0.25">
      <c r="B98" s="75">
        <f>_xll.CompanyOwnerLatestDateD($C$1,B97-1)</f>
        <v>42313</v>
      </c>
      <c r="C98" s="40">
        <f>_xll.CompanyOwnerLatestSharesD($B$86,$C$1,B98)</f>
        <v>105000000</v>
      </c>
      <c r="D98" s="40">
        <f t="shared" si="12"/>
        <v>-9100000</v>
      </c>
      <c r="E98" s="11">
        <f>_xll.LastPriceD($C$1,B98)</f>
        <v>44.3</v>
      </c>
      <c r="H98" s="11"/>
      <c r="I98" s="11"/>
      <c r="J98" s="11"/>
      <c r="K98" s="11"/>
      <c r="L98" s="11"/>
      <c r="M98" s="11"/>
      <c r="N98" s="11"/>
      <c r="O98" s="11"/>
      <c r="P98" s="11"/>
    </row>
    <row r="99" spans="2:16" x14ac:dyDescent="0.25">
      <c r="B99" s="75">
        <f>_xll.CompanyOwnerLatestDateD($C$1,B98-1)</f>
        <v>42306</v>
      </c>
      <c r="C99" s="40">
        <f>_xll.CompanyOwnerLatestSharesD($B$86,$C$1,B99)</f>
        <v>114100000</v>
      </c>
      <c r="D99" s="40">
        <f t="shared" si="12"/>
        <v>0</v>
      </c>
      <c r="E99" s="11">
        <f>_xll.LastPriceD($C$1,B99)</f>
        <v>45</v>
      </c>
      <c r="H99" s="11"/>
      <c r="I99" s="11"/>
      <c r="J99" s="11"/>
      <c r="K99" s="11"/>
      <c r="L99" s="11"/>
      <c r="M99" s="11"/>
      <c r="N99" s="11"/>
      <c r="O99" s="11"/>
      <c r="P99" s="11"/>
    </row>
    <row r="100" spans="2:16" x14ac:dyDescent="0.25">
      <c r="B100" s="75">
        <f>_xll.CompanyOwnerLatestDateD($C$1,B99-1)</f>
        <v>42299</v>
      </c>
      <c r="C100" s="40">
        <f>_xll.CompanyOwnerLatestSharesD($B$86,$C$1,B100)</f>
        <v>114100000</v>
      </c>
      <c r="D100" s="40">
        <f t="shared" si="12"/>
        <v>0</v>
      </c>
      <c r="E100" s="11">
        <f>_xll.LastPriceD($C$1,B100)</f>
        <v>43</v>
      </c>
      <c r="H100" s="11"/>
      <c r="I100" s="11"/>
      <c r="J100" s="11"/>
      <c r="K100" s="11"/>
      <c r="L100" s="11"/>
      <c r="M100" s="11"/>
      <c r="N100" s="11"/>
      <c r="O100" s="11"/>
      <c r="P100" s="11"/>
    </row>
    <row r="101" spans="2:16" x14ac:dyDescent="0.25">
      <c r="B101" s="75">
        <f>_xll.CompanyOwnerLatestDateD($C$1,B100-1)</f>
        <v>42292</v>
      </c>
      <c r="C101" s="40">
        <f>_xll.CompanyOwnerLatestSharesD($B$86,$C$1,B101)</f>
        <v>114100000</v>
      </c>
      <c r="D101" s="40">
        <f t="shared" si="12"/>
        <v>0</v>
      </c>
      <c r="E101" s="11">
        <f>_xll.LastPriceD($C$1,B101)</f>
        <v>42.9</v>
      </c>
    </row>
    <row r="102" spans="2:16" x14ac:dyDescent="0.25">
      <c r="B102" s="75">
        <f>_xll.CompanyOwnerLatestDateD($C$1,B101-1)</f>
        <v>42285</v>
      </c>
      <c r="C102" s="40">
        <f>_xll.CompanyOwnerLatestSharesD($B$86,$C$1,B102)</f>
        <v>114100000</v>
      </c>
      <c r="D102" s="40">
        <f t="shared" si="12"/>
        <v>0</v>
      </c>
      <c r="E102" s="11">
        <f>_xll.LastPriceD($C$1,B102)</f>
        <v>43</v>
      </c>
    </row>
    <row r="103" spans="2:16" x14ac:dyDescent="0.25">
      <c r="B103" s="75">
        <f>_xll.CompanyOwnerLatestDateD($C$1,B102-1)</f>
        <v>42278</v>
      </c>
      <c r="C103" s="40">
        <f>_xll.CompanyOwnerLatestSharesD($B$86,$C$1,B103)</f>
        <v>114100000</v>
      </c>
      <c r="D103" s="40" t="str">
        <f>IFERROR(C103-#REF!,"-")</f>
        <v>-</v>
      </c>
      <c r="E103" s="11">
        <f>_xll.LastPriceD($C$1,B103)</f>
        <v>42.35</v>
      </c>
    </row>
  </sheetData>
  <dataValidations disablePrompts="1" count="1">
    <dataValidation type="list" allowBlank="1" showInputMessage="1" showErrorMessage="1" sqref="B86">
      <formula1>investors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Sheet1!GeniusQuery_1</vt:lpstr>
      <vt:lpstr>investors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einaroddsson</dc:creator>
  <cp:lastModifiedBy>Notandi</cp:lastModifiedBy>
  <dcterms:created xsi:type="dcterms:W3CDTF">2015-06-05T09:27:42Z</dcterms:created>
  <dcterms:modified xsi:type="dcterms:W3CDTF">2016-01-13T12:54:02Z</dcterms:modified>
</cp:coreProperties>
</file>