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tandi\Dropbox\base_einar\projects\kodi\kodiak_excel\official_demodocs\"/>
    </mc:Choice>
  </mc:AlternateContent>
  <bookViews>
    <workbookView xWindow="0" yWindow="0" windowWidth="21600" windowHeight="9735"/>
  </bookViews>
  <sheets>
    <sheet name="KODIA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1" l="1"/>
  <c r="N22" i="1"/>
  <c r="N21" i="1"/>
  <c r="N15" i="1"/>
  <c r="N14" i="1"/>
  <c r="N13" i="1"/>
  <c r="N12" i="1"/>
  <c r="N11" i="1"/>
  <c r="N10" i="1"/>
  <c r="N9" i="1"/>
  <c r="N6" i="1"/>
  <c r="N7" i="1"/>
  <c r="N8" i="1"/>
  <c r="U2" i="1" l="1"/>
  <c r="E22" i="1"/>
  <c r="E17" i="1"/>
  <c r="E10" i="1"/>
  <c r="E14" i="1"/>
  <c r="E6" i="1"/>
  <c r="E21" i="1"/>
  <c r="E7" i="1"/>
  <c r="E11" i="1"/>
  <c r="E15" i="1"/>
  <c r="E13" i="1"/>
  <c r="E19" i="1"/>
  <c r="E8" i="1"/>
  <c r="E12" i="1"/>
  <c r="B23" i="1"/>
  <c r="U19" i="1"/>
  <c r="U14" i="1"/>
  <c r="U10" i="1"/>
  <c r="U6" i="1"/>
  <c r="S19" i="1"/>
  <c r="S14" i="1"/>
  <c r="S10" i="1"/>
  <c r="S6" i="1"/>
  <c r="G19" i="1"/>
  <c r="G14" i="1"/>
  <c r="G10" i="1"/>
  <c r="G6" i="1"/>
  <c r="F19" i="1"/>
  <c r="F14" i="1"/>
  <c r="F10" i="1"/>
  <c r="F6" i="1"/>
  <c r="J9" i="1"/>
  <c r="J10" i="1"/>
  <c r="J14" i="1"/>
  <c r="J11" i="1"/>
  <c r="M22" i="1"/>
  <c r="M6" i="1"/>
  <c r="O7" i="1"/>
  <c r="O15" i="1"/>
  <c r="P10" i="1"/>
  <c r="P23" i="1"/>
  <c r="T13" i="1"/>
  <c r="T23" i="1"/>
  <c r="V13" i="1"/>
  <c r="V23" i="1"/>
  <c r="U23" i="1"/>
  <c r="U18" i="1"/>
  <c r="U13" i="1"/>
  <c r="U9" i="1"/>
  <c r="S23" i="1"/>
  <c r="S18" i="1"/>
  <c r="S13" i="1"/>
  <c r="S9" i="1"/>
  <c r="G23" i="1"/>
  <c r="G18" i="1"/>
  <c r="G13" i="1"/>
  <c r="G9" i="1"/>
  <c r="F23" i="1"/>
  <c r="F18" i="1"/>
  <c r="F13" i="1"/>
  <c r="F9" i="1"/>
  <c r="J8" i="1"/>
  <c r="J18" i="1"/>
  <c r="J17" i="1"/>
  <c r="J19" i="1"/>
  <c r="M9" i="1"/>
  <c r="M11" i="1"/>
  <c r="M7" i="1"/>
  <c r="O8" i="1"/>
  <c r="O21" i="1"/>
  <c r="P11" i="1"/>
  <c r="T6" i="1"/>
  <c r="T14" i="1"/>
  <c r="V6" i="1"/>
  <c r="V14" i="1"/>
  <c r="U22" i="1"/>
  <c r="U17" i="1"/>
  <c r="U12" i="1"/>
  <c r="U8" i="1"/>
  <c r="S22" i="1"/>
  <c r="S17" i="1"/>
  <c r="S12" i="1"/>
  <c r="S8" i="1"/>
  <c r="G22" i="1"/>
  <c r="G17" i="1"/>
  <c r="G12" i="1"/>
  <c r="G8" i="1"/>
  <c r="F22" i="1"/>
  <c r="F17" i="1"/>
  <c r="F12" i="1"/>
  <c r="F8" i="1"/>
  <c r="J13" i="1"/>
  <c r="J12" i="1"/>
  <c r="J22" i="1"/>
  <c r="J6" i="1"/>
  <c r="M15" i="1"/>
  <c r="M18" i="1"/>
  <c r="O11" i="1"/>
  <c r="P6" i="1"/>
  <c r="P14" i="1"/>
  <c r="T9" i="1"/>
  <c r="T18" i="1"/>
  <c r="V9" i="1"/>
  <c r="V18" i="1"/>
  <c r="U21" i="1"/>
  <c r="U15" i="1"/>
  <c r="U11" i="1"/>
  <c r="U7" i="1"/>
  <c r="S21" i="1"/>
  <c r="S15" i="1"/>
  <c r="S11" i="1"/>
  <c r="S7" i="1"/>
  <c r="G21" i="1"/>
  <c r="G15" i="1"/>
  <c r="G11" i="1"/>
  <c r="G7" i="1"/>
  <c r="F21" i="1"/>
  <c r="F15" i="1"/>
  <c r="F11" i="1"/>
  <c r="F7" i="1"/>
  <c r="J15" i="1"/>
  <c r="J21" i="1"/>
  <c r="J7" i="1"/>
  <c r="M17" i="1"/>
  <c r="J23" i="1"/>
  <c r="M23" i="1"/>
  <c r="O12" i="1"/>
  <c r="P7" i="1"/>
  <c r="P15" i="1"/>
  <c r="T10" i="1"/>
  <c r="T19" i="1"/>
  <c r="V10" i="1"/>
  <c r="V19" i="1"/>
  <c r="B15" i="1"/>
  <c r="V22" i="1"/>
  <c r="T22" i="1"/>
  <c r="P22" i="1"/>
  <c r="O14" i="1"/>
  <c r="M19" i="1"/>
  <c r="B21" i="1"/>
  <c r="V7" i="1"/>
  <c r="T7" i="1"/>
  <c r="O22" i="1"/>
  <c r="M13" i="1"/>
  <c r="B13" i="1"/>
  <c r="B9" i="1"/>
  <c r="T8" i="1"/>
  <c r="B10" i="1"/>
  <c r="T11" i="1"/>
  <c r="M12" i="1"/>
  <c r="B7" i="1"/>
  <c r="B8" i="1"/>
  <c r="V17" i="1"/>
  <c r="T17" i="1"/>
  <c r="P13" i="1"/>
  <c r="O10" i="1"/>
  <c r="M8" i="1"/>
  <c r="V21" i="1"/>
  <c r="T21" i="1"/>
  <c r="P21" i="1"/>
  <c r="O13" i="1"/>
  <c r="B12" i="1"/>
  <c r="B17" i="1"/>
  <c r="B18" i="1"/>
  <c r="V8" i="1"/>
  <c r="O23" i="1"/>
  <c r="M14" i="1"/>
  <c r="V11" i="1"/>
  <c r="B14" i="1"/>
  <c r="V12" i="1"/>
  <c r="T12" i="1"/>
  <c r="P9" i="1"/>
  <c r="O6" i="1"/>
  <c r="M10" i="1"/>
  <c r="M21" i="1"/>
  <c r="V15" i="1"/>
  <c r="T15" i="1"/>
  <c r="P12" i="1"/>
  <c r="O9" i="1"/>
  <c r="B6" i="1"/>
  <c r="B22" i="1"/>
  <c r="B19" i="1"/>
  <c r="P8" i="1"/>
  <c r="B11" i="1"/>
  <c r="E9" i="1"/>
  <c r="E18" i="1"/>
  <c r="E23" i="1"/>
  <c r="Q6" i="1" l="1"/>
  <c r="AA15" i="1"/>
  <c r="AA12" i="1"/>
  <c r="Q23" i="1"/>
  <c r="Q10" i="1"/>
  <c r="Q21" i="1"/>
  <c r="AA21" i="1"/>
  <c r="Q7" i="1"/>
  <c r="AA17" i="1"/>
  <c r="AA11" i="1"/>
  <c r="Q15" i="1"/>
  <c r="AA8" i="1"/>
  <c r="Q14" i="1"/>
  <c r="Q22" i="1"/>
  <c r="AA7" i="1"/>
  <c r="Q11" i="1"/>
  <c r="AA22" i="1"/>
  <c r="AA19" i="1"/>
  <c r="AA10" i="1"/>
  <c r="Q9" i="1"/>
  <c r="K23" i="1"/>
  <c r="K21" i="1"/>
  <c r="K15" i="1"/>
  <c r="H7" i="1"/>
  <c r="I7" i="1" s="1"/>
  <c r="H11" i="1"/>
  <c r="I11" i="1" s="1"/>
  <c r="H15" i="1"/>
  <c r="I15" i="1" s="1"/>
  <c r="H21" i="1"/>
  <c r="I21" i="1" s="1"/>
  <c r="L21" i="1" s="1"/>
  <c r="AA18" i="1"/>
  <c r="AA9" i="1"/>
  <c r="Q8" i="1"/>
  <c r="K22" i="1"/>
  <c r="K12" i="1"/>
  <c r="K13" i="1"/>
  <c r="H8" i="1"/>
  <c r="I8" i="1" s="1"/>
  <c r="H12" i="1"/>
  <c r="I12" i="1" s="1"/>
  <c r="H17" i="1"/>
  <c r="I17" i="1" s="1"/>
  <c r="L17" i="1" s="1"/>
  <c r="H22" i="1"/>
  <c r="I22" i="1" s="1"/>
  <c r="AA14" i="1"/>
  <c r="AA6" i="1"/>
  <c r="Q13" i="1"/>
  <c r="K19" i="1"/>
  <c r="K17" i="1"/>
  <c r="K18" i="1"/>
  <c r="H9" i="1"/>
  <c r="I9" i="1" s="1"/>
  <c r="H13" i="1"/>
  <c r="I13" i="1" s="1"/>
  <c r="L13" i="1" s="1"/>
  <c r="H18" i="1"/>
  <c r="I18" i="1" s="1"/>
  <c r="L18" i="1" s="1"/>
  <c r="H23" i="1"/>
  <c r="I23" i="1" s="1"/>
  <c r="AA23" i="1"/>
  <c r="AA13" i="1"/>
  <c r="Q12" i="1"/>
  <c r="K14" i="1"/>
  <c r="K10" i="1"/>
  <c r="H6" i="1"/>
  <c r="I6" i="1" s="1"/>
  <c r="H10" i="1"/>
  <c r="I10" i="1" s="1"/>
  <c r="H14" i="1"/>
  <c r="I14" i="1" s="1"/>
  <c r="L14" i="1" s="1"/>
  <c r="H19" i="1"/>
  <c r="I19" i="1" s="1"/>
  <c r="L19" i="1" s="1"/>
  <c r="D11" i="1"/>
  <c r="D18" i="1"/>
  <c r="D9" i="1"/>
  <c r="W17" i="1"/>
  <c r="W15" i="1"/>
  <c r="W7" i="1"/>
  <c r="K11" i="1"/>
  <c r="D23" i="1"/>
  <c r="C11" i="1"/>
  <c r="C19" i="1"/>
  <c r="C17" i="1"/>
  <c r="C12" i="1"/>
  <c r="C13" i="1"/>
  <c r="C21" i="1"/>
  <c r="W21" i="1"/>
  <c r="W8" i="1"/>
  <c r="D21" i="1"/>
  <c r="W23" i="1"/>
  <c r="K8" i="1"/>
  <c r="W6" i="1"/>
  <c r="C18" i="1"/>
  <c r="C8" i="1"/>
  <c r="W10" i="1"/>
  <c r="K9" i="1"/>
  <c r="C9" i="1"/>
  <c r="C7" i="1"/>
  <c r="D19" i="1"/>
  <c r="D14" i="1"/>
  <c r="D17" i="1"/>
  <c r="D8" i="1"/>
  <c r="D10" i="1"/>
  <c r="D13" i="1"/>
  <c r="K7" i="1"/>
  <c r="K6" i="1"/>
  <c r="W11" i="1"/>
  <c r="C15" i="1"/>
  <c r="C22" i="1"/>
  <c r="D22" i="1"/>
  <c r="D12" i="1"/>
  <c r="D7" i="1"/>
  <c r="W13" i="1"/>
  <c r="D15" i="1"/>
  <c r="W9" i="1"/>
  <c r="C23" i="1"/>
  <c r="C14" i="1"/>
  <c r="D6" i="1"/>
  <c r="W14" i="1"/>
  <c r="W12" i="1"/>
  <c r="W19" i="1"/>
  <c r="W18" i="1"/>
  <c r="W22" i="1"/>
  <c r="C6" i="1"/>
  <c r="C10" i="1"/>
  <c r="AB22" i="1" l="1"/>
  <c r="AB18" i="1"/>
  <c r="AB19" i="1"/>
  <c r="AB12" i="1"/>
  <c r="AB14" i="1"/>
  <c r="AB9" i="1"/>
  <c r="AB13" i="1"/>
  <c r="AB11" i="1"/>
  <c r="AB10" i="1"/>
  <c r="AB6" i="1"/>
  <c r="AB23" i="1"/>
  <c r="AB8" i="1"/>
  <c r="AB21" i="1"/>
  <c r="AB7" i="1"/>
  <c r="AB15" i="1"/>
  <c r="AB17" i="1"/>
  <c r="Y19" i="1"/>
  <c r="Z19" i="1"/>
  <c r="L23" i="1"/>
  <c r="L12" i="1"/>
  <c r="L15" i="1"/>
  <c r="Z18" i="1"/>
  <c r="Y18" i="1"/>
  <c r="L8" i="1"/>
  <c r="L11" i="1"/>
  <c r="L9" i="1"/>
  <c r="Z17" i="1"/>
  <c r="Y17" i="1"/>
  <c r="Z21" i="1"/>
  <c r="R21" i="1"/>
  <c r="X21" i="1" s="1"/>
  <c r="Y21" i="1"/>
  <c r="R14" i="1"/>
  <c r="X14" i="1" s="1"/>
  <c r="Y14" i="1"/>
  <c r="Z14" i="1"/>
  <c r="L10" i="1"/>
  <c r="L6" i="1"/>
  <c r="Y13" i="1"/>
  <c r="R13" i="1"/>
  <c r="X13" i="1" s="1"/>
  <c r="Z13" i="1"/>
  <c r="L22" i="1"/>
  <c r="L7" i="1"/>
  <c r="Y22" i="1" l="1"/>
  <c r="R22" i="1"/>
  <c r="X22" i="1" s="1"/>
  <c r="Z22" i="1"/>
  <c r="Z6" i="1"/>
  <c r="Y6" i="1"/>
  <c r="R6" i="1"/>
  <c r="X6" i="1" s="1"/>
  <c r="Y8" i="1"/>
  <c r="R8" i="1"/>
  <c r="X8" i="1" s="1"/>
  <c r="Z8" i="1"/>
  <c r="Z12" i="1"/>
  <c r="R12" i="1"/>
  <c r="X12" i="1" s="1"/>
  <c r="Y12" i="1"/>
  <c r="R10" i="1"/>
  <c r="X10" i="1" s="1"/>
  <c r="Z10" i="1"/>
  <c r="Y10" i="1"/>
  <c r="Z23" i="1"/>
  <c r="Y23" i="1"/>
  <c r="R23" i="1"/>
  <c r="X23" i="1" s="1"/>
  <c r="R9" i="1"/>
  <c r="X9" i="1" s="1"/>
  <c r="Z9" i="1"/>
  <c r="Y9" i="1"/>
  <c r="R7" i="1"/>
  <c r="X7" i="1" s="1"/>
  <c r="Y7" i="1"/>
  <c r="Z7" i="1"/>
  <c r="Z11" i="1"/>
  <c r="R11" i="1"/>
  <c r="X11" i="1" s="1"/>
  <c r="Y11" i="1"/>
  <c r="Y15" i="1"/>
  <c r="R15" i="1"/>
  <c r="X15" i="1" s="1"/>
  <c r="Z15" i="1"/>
</calcChain>
</file>

<file path=xl/sharedStrings.xml><?xml version="1.0" encoding="utf-8"?>
<sst xmlns="http://schemas.openxmlformats.org/spreadsheetml/2006/main" count="49" uniqueCount="49">
  <si>
    <t>OSSRu</t>
  </si>
  <si>
    <t>ICEAIR</t>
  </si>
  <si>
    <t>MARL</t>
  </si>
  <si>
    <t>EIM</t>
  </si>
  <si>
    <t>VIS</t>
  </si>
  <si>
    <t>SJOVA</t>
  </si>
  <si>
    <t>TM</t>
  </si>
  <si>
    <t>HAGA</t>
  </si>
  <si>
    <t>REGINN</t>
  </si>
  <si>
    <t>REITIR</t>
  </si>
  <si>
    <t>EIK</t>
  </si>
  <si>
    <t>N1</t>
  </si>
  <si>
    <t>VOICE</t>
  </si>
  <si>
    <t>GRND</t>
  </si>
  <si>
    <t>NYHR</t>
  </si>
  <si>
    <t>Outstanding Shares</t>
  </si>
  <si>
    <t>Cash</t>
  </si>
  <si>
    <t>Enterprise Value</t>
  </si>
  <si>
    <t>NIBL</t>
  </si>
  <si>
    <t>EBITDA TTM</t>
  </si>
  <si>
    <t>EV/EBITDA</t>
  </si>
  <si>
    <t>Equity</t>
  </si>
  <si>
    <t>P/B</t>
  </si>
  <si>
    <t>P/E</t>
  </si>
  <si>
    <t>Earnings TTM</t>
  </si>
  <si>
    <t>Total Assets</t>
  </si>
  <si>
    <t>Equity Ratio</t>
  </si>
  <si>
    <t>ROE</t>
  </si>
  <si>
    <t>Equity 1 year ago</t>
  </si>
  <si>
    <t>LT Debt</t>
  </si>
  <si>
    <t>ST Debt</t>
  </si>
  <si>
    <t xml:space="preserve">           KODIAK Excel</t>
  </si>
  <si>
    <t>Symbol</t>
  </si>
  <si>
    <t>SIMINN</t>
  </si>
  <si>
    <t>Date</t>
  </si>
  <si>
    <t>Price</t>
  </si>
  <si>
    <t>12M Ch.</t>
  </si>
  <si>
    <t>Market Cap. ISK</t>
  </si>
  <si>
    <t>Curr.</t>
  </si>
  <si>
    <t>Rate</t>
  </si>
  <si>
    <t>Market Cap. FX</t>
  </si>
  <si>
    <t>Latest financials</t>
  </si>
  <si>
    <t>Issued shares</t>
  </si>
  <si>
    <t>Treasury Shares</t>
  </si>
  <si>
    <t>Real Estate</t>
  </si>
  <si>
    <t>Insurance</t>
  </si>
  <si>
    <t>Different Formula</t>
  </si>
  <si>
    <t>Day ch.</t>
  </si>
  <si>
    <t>Shares Traded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</si>
</sst>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#,##0,,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/>
    <xf numFmtId="9" fontId="2" fillId="0" borderId="0" xfId="1" applyFont="1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/>
    <xf numFmtId="3" fontId="2" fillId="0" borderId="0" xfId="0" applyNumberFormat="1" applyFont="1" applyFill="1" applyAlignment="1">
      <alignment horizontal="right"/>
    </xf>
    <xf numFmtId="0" fontId="2" fillId="0" borderId="0" xfId="0" applyFont="1" applyFill="1"/>
    <xf numFmtId="164" fontId="2" fillId="0" borderId="0" xfId="0" applyNumberFormat="1" applyFont="1" applyFill="1" applyAlignment="1">
      <alignment horizontal="right"/>
    </xf>
    <xf numFmtId="9" fontId="2" fillId="0" borderId="0" xfId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4" fontId="2" fillId="0" borderId="0" xfId="0" applyNumberFormat="1" applyFont="1" applyFill="1"/>
    <xf numFmtId="4" fontId="2" fillId="2" borderId="0" xfId="0" applyNumberFormat="1" applyFont="1" applyFill="1" applyAlignment="1">
      <alignment horizontal="right"/>
    </xf>
    <xf numFmtId="9" fontId="2" fillId="2" borderId="0" xfId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4" borderId="0" xfId="0" applyNumberFormat="1" applyFont="1" applyFill="1" applyAlignment="1">
      <alignment horizontal="right"/>
    </xf>
    <xf numFmtId="3" fontId="2" fillId="4" borderId="0" xfId="0" applyNumberFormat="1" applyFont="1" applyFill="1" applyAlignment="1">
      <alignment horizontal="right"/>
    </xf>
    <xf numFmtId="0" fontId="2" fillId="4" borderId="0" xfId="0" applyFont="1" applyFill="1" applyAlignment="1">
      <alignment horizontal="right"/>
    </xf>
    <xf numFmtId="164" fontId="2" fillId="4" borderId="0" xfId="0" applyNumberFormat="1" applyFont="1" applyFill="1"/>
    <xf numFmtId="0" fontId="2" fillId="4" borderId="0" xfId="0" applyFont="1" applyFill="1"/>
    <xf numFmtId="164" fontId="2" fillId="4" borderId="0" xfId="0" applyNumberFormat="1" applyFont="1" applyFill="1" applyAlignment="1">
      <alignment horizontal="right"/>
    </xf>
    <xf numFmtId="9" fontId="2" fillId="4" borderId="0" xfId="1" applyFont="1" applyFill="1" applyAlignment="1">
      <alignment horizontal="right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0" fontId="2" fillId="5" borderId="0" xfId="0" applyFont="1" applyFill="1"/>
    <xf numFmtId="164" fontId="2" fillId="5" borderId="0" xfId="0" applyNumberFormat="1" applyFont="1" applyFill="1" applyAlignment="1">
      <alignment horizontal="right"/>
    </xf>
    <xf numFmtId="9" fontId="2" fillId="5" borderId="0" xfId="1" applyFont="1" applyFill="1" applyAlignment="1">
      <alignment horizontal="right"/>
    </xf>
    <xf numFmtId="0" fontId="2" fillId="5" borderId="0" xfId="0" applyFont="1" applyFill="1" applyAlignment="1">
      <alignment horizontal="right"/>
    </xf>
    <xf numFmtId="164" fontId="2" fillId="5" borderId="0" xfId="0" applyNumberFormat="1" applyFont="1" applyFill="1"/>
    <xf numFmtId="14" fontId="2" fillId="5" borderId="0" xfId="0" applyNumberFormat="1" applyFont="1" applyFill="1" applyAlignment="1">
      <alignment horizontal="right"/>
    </xf>
    <xf numFmtId="165" fontId="2" fillId="0" borderId="0" xfId="1" applyNumberFormat="1" applyFont="1" applyAlignment="1">
      <alignment horizontal="right"/>
    </xf>
    <xf numFmtId="3" fontId="2" fillId="0" borderId="0" xfId="1" applyNumberFormat="1" applyFont="1" applyAlignment="1">
      <alignment horizontal="right"/>
    </xf>
    <xf numFmtId="165" fontId="2" fillId="4" borderId="0" xfId="1" applyNumberFormat="1" applyFont="1" applyFill="1" applyAlignment="1">
      <alignment horizontal="right"/>
    </xf>
    <xf numFmtId="165" fontId="2" fillId="5" borderId="0" xfId="1" applyNumberFormat="1" applyFont="1" applyFill="1" applyAlignment="1">
      <alignment horizontal="right"/>
    </xf>
    <xf numFmtId="0" fontId="3" fillId="4" borderId="0" xfId="0" applyFont="1" applyFill="1" applyAlignment="1"/>
    <xf numFmtId="0" fontId="3" fillId="5" borderId="0" xfId="0" applyFont="1" applyFill="1" applyAlignment="1"/>
    <xf numFmtId="0" fontId="3" fillId="3" borderId="0" xfId="0" applyFont="1" applyFill="1" applyAlignment="1"/>
    <xf numFmtId="166" fontId="2" fillId="0" borderId="0" xfId="1" applyNumberFormat="1" applyFont="1" applyAlignment="1">
      <alignment horizontal="right"/>
    </xf>
    <xf numFmtId="166" fontId="2" fillId="4" borderId="0" xfId="1" applyNumberFormat="1" applyFont="1" applyFill="1" applyAlignment="1">
      <alignment horizontal="right"/>
    </xf>
    <xf numFmtId="166" fontId="2" fillId="5" borderId="0" xfId="1" applyNumberFormat="1" applyFont="1" applyFill="1" applyAlignment="1">
      <alignment horizontal="right"/>
    </xf>
    <xf numFmtId="166" fontId="2" fillId="0" borderId="0" xfId="0" applyNumberFormat="1" applyFont="1" applyAlignment="1">
      <alignment horizontal="right"/>
    </xf>
    <xf numFmtId="166" fontId="2" fillId="4" borderId="0" xfId="0" applyNumberFormat="1" applyFont="1" applyFill="1" applyAlignment="1">
      <alignment horizontal="right"/>
    </xf>
    <xf numFmtId="166" fontId="2" fillId="5" borderId="0" xfId="0" applyNumberFormat="1" applyFont="1" applyFill="1" applyAlignment="1">
      <alignment horizontal="right"/>
    </xf>
    <xf numFmtId="166" fontId="2" fillId="0" borderId="0" xfId="0" applyNumberFormat="1" applyFont="1" applyFill="1"/>
    <xf numFmtId="166" fontId="2" fillId="0" borderId="0" xfId="0" applyNumberFormat="1" applyFont="1" applyFill="1" applyAlignment="1">
      <alignment horizontal="right"/>
    </xf>
    <xf numFmtId="166" fontId="2" fillId="3" borderId="0" xfId="0" applyNumberFormat="1" applyFont="1" applyFill="1" applyAlignment="1">
      <alignment horizontal="right"/>
    </xf>
    <xf numFmtId="14" fontId="2" fillId="0" borderId="1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2">
    <dxf>
      <font>
        <color rgb="FFFF0000"/>
      </font>
    </dxf>
    <dxf>
      <font>
        <color theme="9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114300</xdr:rowOff>
    </xdr:from>
    <xdr:to>
      <xdr:col>0</xdr:col>
      <xdr:colOff>704779</xdr:colOff>
      <xdr:row>1</xdr:row>
      <xdr:rowOff>18980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14300"/>
          <a:ext cx="561904" cy="5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showGridLines="0" tabSelected="1" zoomScaleNormal="100" workbookViewId="0">
      <selection activeCell="S22" sqref="S22"/>
    </sheetView>
  </sheetViews>
  <sheetFormatPr defaultRowHeight="12" outlineLevelCol="1" x14ac:dyDescent="0.2"/>
  <cols>
    <col min="1" max="1" width="10.7109375" style="1" customWidth="1"/>
    <col min="2" max="2" width="6.140625" style="1" customWidth="1"/>
    <col min="3" max="3" width="8" style="1" customWidth="1"/>
    <col min="4" max="4" width="8.5703125" style="1" customWidth="1"/>
    <col min="5" max="5" width="9.5703125" style="1" customWidth="1"/>
    <col min="6" max="6" width="9" style="1" hidden="1" customWidth="1" outlineLevel="1"/>
    <col min="7" max="7" width="7.140625" style="1" hidden="1" customWidth="1" outlineLevel="1"/>
    <col min="8" max="8" width="7.28515625" style="1" hidden="1" customWidth="1" outlineLevel="1"/>
    <col min="9" max="9" width="10.7109375" style="1" customWidth="1" collapsed="1"/>
    <col min="10" max="10" width="7.42578125" style="1" customWidth="1"/>
    <col min="11" max="11" width="8.42578125" style="1" hidden="1" customWidth="1" outlineLevel="1"/>
    <col min="12" max="12" width="9.28515625" style="1" customWidth="1" collapsed="1"/>
    <col min="13" max="13" width="7.85546875" style="1" hidden="1" customWidth="1" outlineLevel="1"/>
    <col min="14" max="14" width="8.28515625" style="1" hidden="1" customWidth="1" outlineLevel="1"/>
    <col min="15" max="15" width="9.140625" style="1" hidden="1" customWidth="1" outlineLevel="1"/>
    <col min="16" max="16" width="5.7109375" style="1" hidden="1" customWidth="1" outlineLevel="1"/>
    <col min="17" max="17" width="5.5703125" style="1" hidden="1" customWidth="1" outlineLevel="1"/>
    <col min="18" max="18" width="8.7109375" style="1" customWidth="1" collapsed="1"/>
    <col min="19" max="23" width="9.28515625" style="1" customWidth="1"/>
    <col min="24" max="24" width="8.5703125" style="1" customWidth="1"/>
    <col min="25" max="28" width="8.28515625" style="1" customWidth="1"/>
    <col min="29" max="30" width="6.7109375" style="1" customWidth="1"/>
    <col min="31" max="31" width="4" style="1" bestFit="1" customWidth="1"/>
    <col min="32" max="32" width="6.42578125" style="1" customWidth="1"/>
    <col min="33" max="16384" width="9.140625" style="1"/>
  </cols>
  <sheetData>
    <row r="1" spans="1:28" ht="51.75" customHeight="1" x14ac:dyDescent="0.2">
      <c r="A1" s="7" t="s">
        <v>31</v>
      </c>
    </row>
    <row r="2" spans="1:28" x14ac:dyDescent="0.2">
      <c r="T2" s="8" t="s">
        <v>34</v>
      </c>
      <c r="U2" s="51">
        <f>_xll.GeniusToday()</f>
        <v>42331</v>
      </c>
      <c r="V2" s="51"/>
    </row>
    <row r="4" spans="1:28" x14ac:dyDescent="0.2">
      <c r="T4" s="8"/>
    </row>
    <row r="5" spans="1:28" ht="33.75" customHeight="1" x14ac:dyDescent="0.2">
      <c r="A5" s="26" t="s">
        <v>32</v>
      </c>
      <c r="B5" s="27" t="s">
        <v>35</v>
      </c>
      <c r="C5" s="27" t="s">
        <v>47</v>
      </c>
      <c r="D5" s="27" t="s">
        <v>36</v>
      </c>
      <c r="E5" s="27" t="s">
        <v>48</v>
      </c>
      <c r="F5" s="27" t="s">
        <v>42</v>
      </c>
      <c r="G5" s="27" t="s">
        <v>43</v>
      </c>
      <c r="H5" s="27" t="s">
        <v>15</v>
      </c>
      <c r="I5" s="27" t="s">
        <v>37</v>
      </c>
      <c r="J5" s="27" t="s">
        <v>38</v>
      </c>
      <c r="K5" s="27" t="s">
        <v>39</v>
      </c>
      <c r="L5" s="27" t="s">
        <v>40</v>
      </c>
      <c r="M5" s="27" t="s">
        <v>41</v>
      </c>
      <c r="N5" s="27" t="s">
        <v>29</v>
      </c>
      <c r="O5" s="27" t="s">
        <v>30</v>
      </c>
      <c r="P5" s="27" t="s">
        <v>16</v>
      </c>
      <c r="Q5" s="27" t="s">
        <v>18</v>
      </c>
      <c r="R5" s="27" t="s">
        <v>17</v>
      </c>
      <c r="S5" s="27" t="s">
        <v>19</v>
      </c>
      <c r="T5" s="27" t="s">
        <v>21</v>
      </c>
      <c r="U5" s="27" t="s">
        <v>24</v>
      </c>
      <c r="V5" s="27" t="s">
        <v>25</v>
      </c>
      <c r="W5" s="27" t="s">
        <v>28</v>
      </c>
      <c r="X5" s="28" t="s">
        <v>20</v>
      </c>
      <c r="Y5" s="28" t="s">
        <v>22</v>
      </c>
      <c r="Z5" s="28" t="s">
        <v>23</v>
      </c>
      <c r="AA5" s="28" t="s">
        <v>26</v>
      </c>
      <c r="AB5" s="28" t="s">
        <v>27</v>
      </c>
    </row>
    <row r="6" spans="1:28" x14ac:dyDescent="0.2">
      <c r="A6" s="1" t="s">
        <v>0</v>
      </c>
      <c r="B6" s="3">
        <f>IFERROR(_xll.LastPriceD(A6,$U$2),"-")</f>
        <v>445</v>
      </c>
      <c r="C6" s="35">
        <f>IFERROR(_xll.LastPriceD($A6,$U$2)/_xll.LastPriceD($A6,$U$2-1)-1,"-")</f>
        <v>0</v>
      </c>
      <c r="D6" s="6">
        <f>IFERROR(B6/_xll.LastPriceD($A6,$U$2-365)-1,"-")</f>
        <v>0.21917808219178081</v>
      </c>
      <c r="E6" s="42">
        <f>_xll.VolumeTradedDD($A6,$U$2,$U$2)</f>
        <v>0</v>
      </c>
      <c r="F6" s="45">
        <f>IFERROR(_xll.TotalIssue(A6),"-")</f>
        <v>446293245</v>
      </c>
      <c r="G6" s="45">
        <f>IFERROR(_xll.OwnShares(A6),"-")</f>
        <v>500000</v>
      </c>
      <c r="H6" s="45">
        <f>IFERROR(F6-G6,"-")</f>
        <v>445793245</v>
      </c>
      <c r="I6" s="49">
        <f t="shared" ref="I6:I15" si="0">IFERROR(H6*B6,"-")</f>
        <v>198377994025</v>
      </c>
      <c r="J6" s="2" t="str">
        <f>_xll.FinancialsCurrency(A6)</f>
        <v>USD</v>
      </c>
      <c r="K6" s="5">
        <f>IF(J6="ISK",1,_xll.CrossRate(CONCATENATE("ISK",J6)))</f>
        <v>132.56576000000001</v>
      </c>
      <c r="L6" s="45">
        <f t="shared" ref="L6:L15" si="1">IFERROR(I6/K6,"-")</f>
        <v>1496449716.9178526</v>
      </c>
      <c r="M6" s="18">
        <f>_xll.ReleaseDateD($A6,$U$2)</f>
        <v>42277</v>
      </c>
      <c r="N6" s="45">
        <f>_xll.KeyLookupD($A6,$U$2,"411")</f>
        <v>90602000</v>
      </c>
      <c r="O6" s="45">
        <f>_xll.KeyLookupD($A6,$U$2,"422")</f>
        <v>78000</v>
      </c>
      <c r="P6" s="45">
        <f>_xll.KeyLookupD($A6,$U$2,"Cash")</f>
        <v>21224000</v>
      </c>
      <c r="Q6" s="45">
        <f t="shared" ref="Q6" si="2">IFERROR(N6+O6-P6,"-")</f>
        <v>69456000</v>
      </c>
      <c r="R6" s="45">
        <f t="shared" ref="R6" si="3">IFERROR(L6-Q6,"-")</f>
        <v>1426993716.9178526</v>
      </c>
      <c r="S6" s="45">
        <f>IFERROR(_xll.EBITDATrailingTwelveMonths(A6),"-")</f>
        <v>98778000</v>
      </c>
      <c r="T6" s="45">
        <f>_xll.KeyLookupD($A6,$U$2,"Equity")</f>
        <v>461412000</v>
      </c>
      <c r="U6" s="45">
        <f>IFERROR(_xll.EarningsTrailingTwelveMonhts(A6),"-")</f>
        <v>53477000</v>
      </c>
      <c r="V6" s="45">
        <f>IFERROR(_xll.KeyLookupD($A6,$U$2,"TotalAssets"),"-")</f>
        <v>661093000</v>
      </c>
      <c r="W6" s="45">
        <f>_xll.KeyLookupD($A6,$M6-360,"Equity")</f>
        <v>467802000</v>
      </c>
      <c r="X6" s="15">
        <f t="shared" ref="X6" si="4">IFERROR(R6/S6,"-")</f>
        <v>14.446473070095088</v>
      </c>
      <c r="Y6" s="15">
        <f t="shared" ref="Y6" si="5">IFERROR(L6/T6,"-")</f>
        <v>3.2431963557901673</v>
      </c>
      <c r="Z6" s="15">
        <f t="shared" ref="Z6" si="6">IFERROR(L6/U6,"-")</f>
        <v>27.983052843612256</v>
      </c>
      <c r="AA6" s="16">
        <f t="shared" ref="AA6" si="7">IFERROR(T6/V6,"-")</f>
        <v>0.69795323804668929</v>
      </c>
      <c r="AB6" s="16">
        <f t="shared" ref="AB6:AB15" si="8">IFERROR(U6/W6,"-")</f>
        <v>0.11431545824943032</v>
      </c>
    </row>
    <row r="7" spans="1:28" x14ac:dyDescent="0.2">
      <c r="A7" s="1" t="s">
        <v>1</v>
      </c>
      <c r="B7" s="3">
        <f>IFERROR(_xll.LastPriceD(A7,$U$2),"-")</f>
        <v>32.85</v>
      </c>
      <c r="C7" s="35">
        <f>IFERROR(_xll.LastPriceD($A7,$U$2)/_xll.LastPriceD($A7,$U$2-1)-1,"-")</f>
        <v>0</v>
      </c>
      <c r="D7" s="6">
        <f>IFERROR(B7/_xll.LastPriceD($A7,$U$2-365)-1,"-")</f>
        <v>0.72440944881889768</v>
      </c>
      <c r="E7" s="42">
        <f>_xll.VolumeTradedDD($A7,$U$2,$U$2)</f>
        <v>0</v>
      </c>
      <c r="F7" s="45">
        <f>IFERROR(_xll.TotalIssue(A7),"-")</f>
        <v>5000000000</v>
      </c>
      <c r="G7" s="45">
        <f>IFERROR(_xll.OwnShares(A7),"-")</f>
        <v>25460000</v>
      </c>
      <c r="H7" s="45">
        <f t="shared" ref="H7:H9" si="9">IFERROR(F7-G7,"-")</f>
        <v>4974540000</v>
      </c>
      <c r="I7" s="49">
        <f t="shared" si="0"/>
        <v>163413639000</v>
      </c>
      <c r="J7" s="2" t="str">
        <f>_xll.FinancialsCurrency(A7)</f>
        <v>USD</v>
      </c>
      <c r="K7" s="5">
        <f>IF(J7="ISK",1,_xll.CrossRate(CONCATENATE("ISK",J7)))</f>
        <v>132.56576000000001</v>
      </c>
      <c r="L7" s="45">
        <f t="shared" si="1"/>
        <v>1232698692.3320169</v>
      </c>
      <c r="M7" s="18">
        <f>_xll.ReleaseDateD($A7,$U$2)</f>
        <v>42277</v>
      </c>
      <c r="N7" s="45">
        <f>_xll.KeyLookupD($A7,$U$2,"411")</f>
        <v>63700000</v>
      </c>
      <c r="O7" s="45">
        <f>_xll.KeyLookupD($A7,$U$2,"422")</f>
        <v>12508000</v>
      </c>
      <c r="P7" s="45">
        <f>_xll.KeyLookupD($A7,$U$2,"Cash")</f>
        <v>256553000</v>
      </c>
      <c r="Q7" s="45">
        <f t="shared" ref="Q7:Q13" si="10">IFERROR(N7+O7-P7,"-")</f>
        <v>-180345000</v>
      </c>
      <c r="R7" s="45">
        <f t="shared" ref="R7:R13" si="11">IFERROR(L7-Q7,"-")</f>
        <v>1413043692.3320169</v>
      </c>
      <c r="S7" s="45">
        <f>IFERROR(_xll.EBITDATrailingTwelveMonths(A7),"-")</f>
        <v>197391000</v>
      </c>
      <c r="T7" s="45">
        <f>_xll.KeyLookupD($A7,$U$2,"Equity")</f>
        <v>471634000</v>
      </c>
      <c r="U7" s="45">
        <f>IFERROR(_xll.EarningsTrailingTwelveMonhts(A7),"-")</f>
        <v>95982000</v>
      </c>
      <c r="V7" s="45">
        <f>IFERROR(_xll.KeyLookupD($A7,$U$2,"TotalAssets"),"-")</f>
        <v>1015460000</v>
      </c>
      <c r="W7" s="45">
        <f>_xll.KeyLookupD($A7,$M7-360,"Equity")</f>
        <v>403607000</v>
      </c>
      <c r="X7" s="15">
        <f t="shared" ref="X7:X13" si="12">IFERROR(R7/S7,"-")</f>
        <v>7.1586024303641853</v>
      </c>
      <c r="Y7" s="15">
        <f t="shared" ref="Y7:Y13" si="13">IFERROR(L7/T7,"-")</f>
        <v>2.613676478650854</v>
      </c>
      <c r="Z7" s="15">
        <f t="shared" ref="Z7:Z13" si="14">IFERROR(L7/U7,"-")</f>
        <v>12.843019444604373</v>
      </c>
      <c r="AA7" s="16">
        <f t="shared" ref="AA7:AA13" si="15">IFERROR(T7/V7,"-")</f>
        <v>0.46445354814566797</v>
      </c>
      <c r="AB7" s="16">
        <f t="shared" si="8"/>
        <v>0.23781054342466806</v>
      </c>
    </row>
    <row r="8" spans="1:28" x14ac:dyDescent="0.2">
      <c r="A8" s="1" t="s">
        <v>2</v>
      </c>
      <c r="B8" s="3">
        <f>IFERROR(_xll.LastPriceD(A8,$U$2),"-")</f>
        <v>224.5</v>
      </c>
      <c r="C8" s="35">
        <f>IFERROR(_xll.LastPriceD($A8,$U$2)/_xll.LastPriceD($A8,$U$2-1)-1,"-")</f>
        <v>0</v>
      </c>
      <c r="D8" s="6">
        <f>IFERROR(B8/_xll.LastPriceD($A8,$U$2-365)-1,"-")</f>
        <v>0.74708171206225682</v>
      </c>
      <c r="E8" s="42">
        <f>_xll.VolumeTradedDD($A8,$U$2,$U$2)</f>
        <v>500000</v>
      </c>
      <c r="F8" s="45">
        <f>IFERROR(_xll.TotalIssue(A8),"-")</f>
        <v>735568997</v>
      </c>
      <c r="G8" s="45">
        <f>IFERROR(_xll.OwnShares(A8),"-")</f>
        <v>30902550</v>
      </c>
      <c r="H8" s="45">
        <f t="shared" si="9"/>
        <v>704666447</v>
      </c>
      <c r="I8" s="49">
        <f t="shared" si="0"/>
        <v>158197617351.5</v>
      </c>
      <c r="J8" s="2" t="str">
        <f>_xll.FinancialsCurrency(A8)</f>
        <v>EUR</v>
      </c>
      <c r="K8" s="5">
        <f>IF(J8="ISK",1,_xll.CrossRate(CONCATENATE("ISK",J8)))</f>
        <v>140.91399000000001</v>
      </c>
      <c r="L8" s="45">
        <f t="shared" si="1"/>
        <v>1122653736.1655858</v>
      </c>
      <c r="M8" s="18">
        <f>_xll.ReleaseDateD($A8,$U$2)</f>
        <v>42277</v>
      </c>
      <c r="N8" s="45">
        <f>_xll.KeyLookupD($A8,$U$2,"411")</f>
        <v>223951000</v>
      </c>
      <c r="O8" s="45">
        <f>_xll.KeyLookupD($A8,$U$2,"422")</f>
        <v>18462000</v>
      </c>
      <c r="P8" s="45">
        <f>_xll.KeyLookupD($A8,$U$2,"Cash")</f>
        <v>92119000</v>
      </c>
      <c r="Q8" s="45">
        <f t="shared" si="10"/>
        <v>150294000</v>
      </c>
      <c r="R8" s="45">
        <f t="shared" si="11"/>
        <v>972359736.16558576</v>
      </c>
      <c r="S8" s="45">
        <f>IFERROR(_xll.EBITDATrailingTwelveMonths(A8),"-")</f>
        <v>113155000</v>
      </c>
      <c r="T8" s="45">
        <f>_xll.KeyLookupD($A8,$U$2,"Equity")</f>
        <v>434339000</v>
      </c>
      <c r="U8" s="45">
        <f>IFERROR(_xll.EarningsTrailingTwelveMonhts(A8),"-")</f>
        <v>49829000</v>
      </c>
      <c r="V8" s="45">
        <f>IFERROR(_xll.KeyLookupD($A8,$U$2,"TotalAssets"),"-")</f>
        <v>917646000</v>
      </c>
      <c r="W8" s="45">
        <f>_xll.KeyLookupD($A8,$M8-360,"Equity")</f>
        <v>428387000</v>
      </c>
      <c r="X8" s="15">
        <f t="shared" si="12"/>
        <v>8.5931663308345705</v>
      </c>
      <c r="Y8" s="15">
        <f t="shared" si="13"/>
        <v>2.5847408042233964</v>
      </c>
      <c r="Z8" s="15">
        <f t="shared" si="14"/>
        <v>22.530127760251776</v>
      </c>
      <c r="AA8" s="16">
        <f t="shared" si="15"/>
        <v>0.47331868716258774</v>
      </c>
      <c r="AB8" s="16">
        <f t="shared" si="8"/>
        <v>0.11631772205972638</v>
      </c>
    </row>
    <row r="9" spans="1:28" x14ac:dyDescent="0.2">
      <c r="A9" s="1" t="s">
        <v>3</v>
      </c>
      <c r="B9" s="3">
        <f>IFERROR(_xll.LastPriceD(A9,$U$2),"-")</f>
        <v>256</v>
      </c>
      <c r="C9" s="35">
        <f>IFERROR(_xll.LastPriceD($A9,$U$2)/_xll.LastPriceD($A9,$U$2-1)-1,"-")</f>
        <v>0</v>
      </c>
      <c r="D9" s="6">
        <f>IFERROR(B9/_xll.LastPriceD($A9,$U$2-365)-1,"-")</f>
        <v>0.11790393013100431</v>
      </c>
      <c r="E9" s="42">
        <f>_xll.VolumeTradedDD($A9,$U$2,$U$2)</f>
        <v>0</v>
      </c>
      <c r="F9" s="45">
        <f>IFERROR(_xll.TotalIssue(A9),"-")</f>
        <v>200000000</v>
      </c>
      <c r="G9" s="45">
        <f>IFERROR(_xll.OwnShares(A9),"-")</f>
        <v>13360770</v>
      </c>
      <c r="H9" s="45">
        <f t="shared" si="9"/>
        <v>186639230</v>
      </c>
      <c r="I9" s="49">
        <f t="shared" si="0"/>
        <v>47779642880</v>
      </c>
      <c r="J9" s="2" t="str">
        <f>_xll.FinancialsCurrency(A9)</f>
        <v>EUR</v>
      </c>
      <c r="K9" s="5">
        <f>IF(J9="ISK",1,_xll.CrossRate(CONCATENATE("ISK",J9)))</f>
        <v>140.91399000000001</v>
      </c>
      <c r="L9" s="45">
        <f t="shared" si="1"/>
        <v>339069547.88520283</v>
      </c>
      <c r="M9" s="18">
        <f>_xll.ReleaseDateD($A9,$U$2)</f>
        <v>42277</v>
      </c>
      <c r="N9" s="45">
        <f>_xll.KeyLookupD($A9,$U$2,"411")</f>
        <v>40524000</v>
      </c>
      <c r="O9" s="45">
        <f>_xll.KeyLookupD($A9,$U$2,"422")</f>
        <v>41245000</v>
      </c>
      <c r="P9" s="45">
        <f>_xll.KeyLookupD($A9,$U$2,"Cash")</f>
        <v>29250000</v>
      </c>
      <c r="Q9" s="45">
        <f t="shared" si="10"/>
        <v>52519000</v>
      </c>
      <c r="R9" s="45">
        <f t="shared" si="11"/>
        <v>286550547.88520283</v>
      </c>
      <c r="S9" s="45">
        <f>IFERROR(_xll.EBITDATrailingTwelveMonths(A9),"-")</f>
        <v>44290999.969999999</v>
      </c>
      <c r="T9" s="45">
        <f>_xll.KeyLookupD($A9,$U$2,"Equity")</f>
        <v>225957999.97</v>
      </c>
      <c r="U9" s="45">
        <f>IFERROR(_xll.EarningsTrailingTwelveMonhts(A9),"-")</f>
        <v>17802999.969999999</v>
      </c>
      <c r="V9" s="45">
        <f>IFERROR(_xll.KeyLookupD($A9,$U$2,"TotalAssets"),"-")</f>
        <v>370650000</v>
      </c>
      <c r="W9" s="45">
        <f>_xll.KeyLookupD($A9,$M9-360,"Equity")</f>
        <v>215659000</v>
      </c>
      <c r="X9" s="15">
        <f t="shared" si="12"/>
        <v>6.4697240540808414</v>
      </c>
      <c r="Y9" s="15">
        <f t="shared" si="13"/>
        <v>1.5005866042814171</v>
      </c>
      <c r="Z9" s="15">
        <f t="shared" si="14"/>
        <v>19.045641097375277</v>
      </c>
      <c r="AA9" s="16">
        <f t="shared" si="15"/>
        <v>0.60962633203831107</v>
      </c>
      <c r="AB9" s="16">
        <f t="shared" si="8"/>
        <v>8.2551620706763917E-2</v>
      </c>
    </row>
    <row r="10" spans="1:28" x14ac:dyDescent="0.2">
      <c r="A10" s="1" t="s">
        <v>11</v>
      </c>
      <c r="B10" s="3">
        <f>IFERROR(_xll.LastPriceD(A10,$U$2),"-")</f>
        <v>42</v>
      </c>
      <c r="C10" s="35">
        <f>IFERROR(_xll.LastPriceD($A10,$U$2)/_xll.LastPriceD($A10,$U$2-1)-1,"-")</f>
        <v>0</v>
      </c>
      <c r="D10" s="6">
        <f>IFERROR(B10/_xll.LastPriceD($A10,$U$2-365)-1,"-")</f>
        <v>1.1265822784810124</v>
      </c>
      <c r="E10" s="42">
        <f>_xll.VolumeTradedDD($A10,$U$2,$U$2)</f>
        <v>0</v>
      </c>
      <c r="F10" s="45">
        <f>IFERROR(_xll.TotalIssue(A10),"-")</f>
        <v>470000000</v>
      </c>
      <c r="G10" s="45">
        <f>IFERROR(_xll.OwnShares(A10),"-")</f>
        <v>0</v>
      </c>
      <c r="H10" s="45">
        <f t="shared" ref="H10" si="16">IFERROR(F10-G10,"-")</f>
        <v>470000000</v>
      </c>
      <c r="I10" s="49">
        <f t="shared" si="0"/>
        <v>19740000000</v>
      </c>
      <c r="J10" s="2" t="str">
        <f>_xll.FinancialsCurrency(A10)</f>
        <v>ISK</v>
      </c>
      <c r="K10" s="5">
        <f>IF(J10="ISK",1,_xll.CrossRate(CONCATENATE("ISK",J10)))</f>
        <v>1</v>
      </c>
      <c r="L10" s="45">
        <f t="shared" si="1"/>
        <v>19740000000</v>
      </c>
      <c r="M10" s="18">
        <f>_xll.ReleaseDateD($A10,$U$2)</f>
        <v>42277</v>
      </c>
      <c r="N10" s="45">
        <f>_xll.KeyLookupD($A10,$U$2,"411")</f>
        <v>6370000000</v>
      </c>
      <c r="O10" s="45">
        <f>_xll.KeyLookupD($A10,$U$2,"422")</f>
        <v>0</v>
      </c>
      <c r="P10" s="45">
        <f>_xll.KeyLookupD($A10,$U$2,"Cash")</f>
        <v>3387500000</v>
      </c>
      <c r="Q10" s="45">
        <f t="shared" si="10"/>
        <v>2982500000</v>
      </c>
      <c r="R10" s="45">
        <f t="shared" si="11"/>
        <v>16757500000</v>
      </c>
      <c r="S10" s="45">
        <f>IFERROR(_xll.EBITDATrailingTwelveMonths(A10),"-")</f>
        <v>2885740000</v>
      </c>
      <c r="T10" s="45">
        <f>_xll.KeyLookupD($A10,$U$2,"Equity")</f>
        <v>8929634000</v>
      </c>
      <c r="U10" s="45">
        <f>IFERROR(_xll.EarningsTrailingTwelveMonhts(A10),"-")</f>
        <v>1792615000</v>
      </c>
      <c r="V10" s="45">
        <f>IFERROR(_xll.KeyLookupD($A10,$U$2,"TotalAssets"),"-")</f>
        <v>22280067000</v>
      </c>
      <c r="W10" s="45">
        <f>_xll.KeyLookupD($A10,$M10-360,"Equity")</f>
        <v>14830808000</v>
      </c>
      <c r="X10" s="15">
        <f t="shared" si="12"/>
        <v>5.8070027098768424</v>
      </c>
      <c r="Y10" s="15">
        <f t="shared" si="13"/>
        <v>2.2106169189017155</v>
      </c>
      <c r="Z10" s="15">
        <f t="shared" si="14"/>
        <v>11.011845823001593</v>
      </c>
      <c r="AA10" s="16">
        <f t="shared" si="15"/>
        <v>0.40079026692334452</v>
      </c>
      <c r="AB10" s="16">
        <f t="shared" si="8"/>
        <v>0.12087102739109022</v>
      </c>
    </row>
    <row r="11" spans="1:28" x14ac:dyDescent="0.2">
      <c r="A11" s="1" t="s">
        <v>13</v>
      </c>
      <c r="B11" s="3">
        <f>IFERROR(_xll.LastPriceD(A11,$U$2),"-")</f>
        <v>41.65</v>
      </c>
      <c r="C11" s="35">
        <f>IFERROR(_xll.LastPriceD($A11,$U$2)/_xll.LastPriceD($A11,$U$2-1)-1,"-")</f>
        <v>0</v>
      </c>
      <c r="D11" s="6">
        <f>IFERROR(B11/_xll.LastPriceD($A11,$U$2-365)-1,"-")</f>
        <v>0.39530988274706846</v>
      </c>
      <c r="E11" s="42">
        <f>_xll.VolumeTradedDD($A11,$U$2,$U$2)</f>
        <v>0</v>
      </c>
      <c r="F11" s="45">
        <f>IFERROR(_xll.TotalIssue(A11),"-")</f>
        <v>1822228000</v>
      </c>
      <c r="G11" s="45">
        <f>IFERROR(_xll.OwnShares(A11),"-")</f>
        <v>8569277</v>
      </c>
      <c r="H11" s="45">
        <f>IFERROR(F11-G11,"-")</f>
        <v>1813658723</v>
      </c>
      <c r="I11" s="49">
        <f t="shared" si="0"/>
        <v>75538885812.949997</v>
      </c>
      <c r="J11" s="2" t="str">
        <f>_xll.FinancialsCurrency(A11)</f>
        <v>EUR</v>
      </c>
      <c r="K11" s="5">
        <f>IF(J11="ISK",1,_xll.CrossRate(CONCATENATE("ISK",J11)))</f>
        <v>140.91399000000001</v>
      </c>
      <c r="L11" s="45">
        <f t="shared" si="1"/>
        <v>536063777.71965712</v>
      </c>
      <c r="M11" s="18">
        <f>_xll.ReleaseDateD($A11,$U$2)</f>
        <v>42185</v>
      </c>
      <c r="N11" s="45">
        <f>_xll.KeyLookupD($A11,$U$2,"411")</f>
        <v>43735000</v>
      </c>
      <c r="O11" s="45">
        <f>_xll.KeyLookupD($A11,$U$2,"422")</f>
        <v>62065000</v>
      </c>
      <c r="P11" s="45">
        <f>_xll.KeyLookupD($A11,$U$2,"Cash")</f>
        <v>8567000</v>
      </c>
      <c r="Q11" s="45">
        <f t="shared" si="10"/>
        <v>97233000</v>
      </c>
      <c r="R11" s="45">
        <f t="shared" si="11"/>
        <v>438830777.71965712</v>
      </c>
      <c r="S11" s="45">
        <f>IFERROR(_xll.EBITDATrailingTwelveMonths(A11),"-")</f>
        <v>69020000</v>
      </c>
      <c r="T11" s="45">
        <f>_xll.KeyLookupD($A11,$U$2,"Equity")</f>
        <v>222252000</v>
      </c>
      <c r="U11" s="45">
        <f>IFERROR(_xll.EarningsTrailingTwelveMonhts(A11),"-")</f>
        <v>47775000</v>
      </c>
      <c r="V11" s="45">
        <f>IFERROR(_xll.KeyLookupD($A11,$U$2,"TotalAssets"),"-")</f>
        <v>391234000</v>
      </c>
      <c r="W11" s="45">
        <f>_xll.KeyLookupD($A11,$M11-360,"Equity")</f>
        <v>195641000</v>
      </c>
      <c r="X11" s="15">
        <f t="shared" si="12"/>
        <v>6.3580234384186776</v>
      </c>
      <c r="Y11" s="15">
        <f t="shared" si="13"/>
        <v>2.4119637965897138</v>
      </c>
      <c r="Z11" s="15">
        <f t="shared" si="14"/>
        <v>11.22059189366106</v>
      </c>
      <c r="AA11" s="16">
        <f t="shared" si="15"/>
        <v>0.56807946139650445</v>
      </c>
      <c r="AB11" s="16">
        <f t="shared" si="8"/>
        <v>0.24419727971130795</v>
      </c>
    </row>
    <row r="12" spans="1:28" x14ac:dyDescent="0.2">
      <c r="A12" s="1" t="s">
        <v>14</v>
      </c>
      <c r="B12" s="3">
        <f>IFERROR(_xll.LastPriceD(A12,$U$2),"-")</f>
        <v>14.4</v>
      </c>
      <c r="C12" s="35">
        <f>IFERROR(_xll.LastPriceD($A12,$U$2)/_xll.LastPriceD($A12,$U$2-1)-1,"-")</f>
        <v>0</v>
      </c>
      <c r="D12" s="6">
        <f>IFERROR(B12/_xll.LastPriceD($A12,$U$2-365)-1,"-")</f>
        <v>1.5043478260869567</v>
      </c>
      <c r="E12" s="42">
        <f>_xll.VolumeTradedDD($A12,$U$2,$U$2)</f>
        <v>0</v>
      </c>
      <c r="F12" s="45">
        <f>IFERROR(_xll.TotalIssue(A12),"-")</f>
        <v>410000000</v>
      </c>
      <c r="G12" s="45">
        <f>IFERROR(_xll.OwnShares(A12),"-")</f>
        <v>171169</v>
      </c>
      <c r="H12" s="45">
        <f>IFERROR(F12-G12,"-")</f>
        <v>409828831</v>
      </c>
      <c r="I12" s="49">
        <f t="shared" si="0"/>
        <v>5901535166.4000006</v>
      </c>
      <c r="J12" s="2" t="str">
        <f>_xll.FinancialsCurrency(A12)</f>
        <v>ISK</v>
      </c>
      <c r="K12" s="5">
        <f>IF(J12="ISK",1,_xll.CrossRate(CONCATENATE("ISK",J12)))</f>
        <v>1</v>
      </c>
      <c r="L12" s="45">
        <f t="shared" si="1"/>
        <v>5901535166.4000006</v>
      </c>
      <c r="M12" s="18">
        <f>_xll.ReleaseDateD($A12,$U$2)</f>
        <v>42277</v>
      </c>
      <c r="N12" s="45">
        <f>_xll.KeyLookupD($A12,$U$2,"411")</f>
        <v>2537603000</v>
      </c>
      <c r="O12" s="45">
        <f>_xll.KeyLookupD($A12,$U$2,"422")</f>
        <v>455882000</v>
      </c>
      <c r="P12" s="45">
        <f>_xll.KeyLookupD($A12,$U$2,"Cash")</f>
        <v>102779000</v>
      </c>
      <c r="Q12" s="45">
        <f t="shared" si="10"/>
        <v>2890706000</v>
      </c>
      <c r="R12" s="45">
        <f t="shared" si="11"/>
        <v>3010829166.4000006</v>
      </c>
      <c r="S12" s="45">
        <f>IFERROR(_xll.EBITDATrailingTwelveMonths(A12),"-")</f>
        <v>933642000</v>
      </c>
      <c r="T12" s="45">
        <f>_xll.KeyLookupD($A12,$U$2,"Equity")</f>
        <v>1155919000</v>
      </c>
      <c r="U12" s="45">
        <f>IFERROR(_xll.EarningsTrailingTwelveMonhts(A12),"-")</f>
        <v>324470000</v>
      </c>
      <c r="V12" s="45">
        <f>IFERROR(_xll.KeyLookupD($A12,$U$2,"TotalAssets"),"-")</f>
        <v>5740338000</v>
      </c>
      <c r="W12" s="45">
        <f>_xll.KeyLookupD($A12,$M12-360,"Equity")</f>
        <v>841033000</v>
      </c>
      <c r="X12" s="15">
        <f t="shared" si="12"/>
        <v>3.2248218979009091</v>
      </c>
      <c r="Y12" s="15">
        <f t="shared" si="13"/>
        <v>5.1054919647483956</v>
      </c>
      <c r="Z12" s="15">
        <f t="shared" si="14"/>
        <v>18.188230549511513</v>
      </c>
      <c r="AA12" s="16">
        <f t="shared" si="15"/>
        <v>0.20136775918073116</v>
      </c>
      <c r="AB12" s="16">
        <f t="shared" si="8"/>
        <v>0.38579936815796761</v>
      </c>
    </row>
    <row r="13" spans="1:28" x14ac:dyDescent="0.2">
      <c r="A13" s="1" t="s">
        <v>7</v>
      </c>
      <c r="B13" s="3">
        <f>IFERROR(_xll.LastPriceD(A13,$U$2),"-")</f>
        <v>44</v>
      </c>
      <c r="C13" s="35">
        <f>IFERROR(_xll.LastPriceD($A13,$U$2)/_xll.LastPriceD($A13,$U$2-1)-1,"-")</f>
        <v>0</v>
      </c>
      <c r="D13" s="6">
        <f>IFERROR(B13/_xll.LastPriceD($A13,$U$2-365)-1,"-")</f>
        <v>3.2863849765258246E-2</v>
      </c>
      <c r="E13" s="42">
        <f>_xll.VolumeTradedDD($A13,$U$2,$U$2)</f>
        <v>0</v>
      </c>
      <c r="F13" s="45">
        <f>IFERROR(_xll.TotalIssue(A13),"-")</f>
        <v>1171502190</v>
      </c>
      <c r="G13" s="45">
        <f>IFERROR(_xll.OwnShares(A13),"-")</f>
        <v>0</v>
      </c>
      <c r="H13" s="45">
        <f>IFERROR(F13-G13,"-")</f>
        <v>1171502190</v>
      </c>
      <c r="I13" s="49">
        <f t="shared" si="0"/>
        <v>51546096360</v>
      </c>
      <c r="J13" s="2" t="str">
        <f>_xll.FinancialsCurrency(A13)</f>
        <v>ISK</v>
      </c>
      <c r="K13" s="5">
        <f>IF(J13="ISK",1,_xll.CrossRate(CONCATENATE("ISK",J13)))</f>
        <v>1</v>
      </c>
      <c r="L13" s="45">
        <f t="shared" si="1"/>
        <v>51546096360</v>
      </c>
      <c r="M13" s="18">
        <f>_xll.ReleaseDateD($A13,$U$2)</f>
        <v>42247</v>
      </c>
      <c r="N13" s="45">
        <f>_xll.KeyLookupD($A13,$U$2,"411")</f>
        <v>3866000000</v>
      </c>
      <c r="O13" s="45">
        <f>_xll.KeyLookupD($A13,$U$2,"422")</f>
        <v>751000000</v>
      </c>
      <c r="P13" s="45">
        <f>_xll.KeyLookupD($A13,$U$2,"Cash")</f>
        <v>2478000000</v>
      </c>
      <c r="Q13" s="45">
        <f t="shared" si="10"/>
        <v>2139000000</v>
      </c>
      <c r="R13" s="45">
        <f t="shared" si="11"/>
        <v>49407096360</v>
      </c>
      <c r="S13" s="45">
        <f>IFERROR(_xll.EBITDATrailingTwelveMonths(A13),"-")</f>
        <v>5441000000</v>
      </c>
      <c r="T13" s="45">
        <f>_xll.KeyLookupD($A13,$U$2,"Equity")</f>
        <v>14758000000</v>
      </c>
      <c r="U13" s="45">
        <f>IFERROR(_xll.EarningsTrailingTwelveMonhts(A13),"-")</f>
        <v>3730000000</v>
      </c>
      <c r="V13" s="45">
        <f>IFERROR(_xll.KeyLookupD($A13,$U$2,"TotalAssets"),"-")</f>
        <v>27974000000</v>
      </c>
      <c r="W13" s="45">
        <f>_xll.KeyLookupD($A13,$M13-360,"Equity")</f>
        <v>13020000000</v>
      </c>
      <c r="X13" s="15">
        <f t="shared" si="12"/>
        <v>9.0805176180849116</v>
      </c>
      <c r="Y13" s="15">
        <f t="shared" si="13"/>
        <v>3.4927562244206531</v>
      </c>
      <c r="Z13" s="15">
        <f t="shared" si="14"/>
        <v>13.819328782841824</v>
      </c>
      <c r="AA13" s="16">
        <f t="shared" si="15"/>
        <v>0.52756130692786163</v>
      </c>
      <c r="AB13" s="16">
        <f t="shared" si="8"/>
        <v>0.28648233486943164</v>
      </c>
    </row>
    <row r="14" spans="1:28" x14ac:dyDescent="0.2">
      <c r="A14" s="1" t="s">
        <v>12</v>
      </c>
      <c r="B14" s="3">
        <f>IFERROR(_xll.LastPriceD(A14,$U$2),"-")</f>
        <v>46.9</v>
      </c>
      <c r="C14" s="35">
        <f>IFERROR(_xll.LastPriceD($A14,$U$2)/_xll.LastPriceD($A14,$U$2-1)-1,"-")</f>
        <v>0</v>
      </c>
      <c r="D14" s="6">
        <f>IFERROR(B14/_xll.LastPriceD($A14,$U$2-365)-1,"-")</f>
        <v>0.30097087378640786</v>
      </c>
      <c r="E14" s="42">
        <f>_xll.VolumeTradedDD($A14,$U$2,$U$2)</f>
        <v>0</v>
      </c>
      <c r="F14" s="45">
        <f>IFERROR(_xll.TotalIssue(A14),"-")</f>
        <v>336138889</v>
      </c>
      <c r="G14" s="45">
        <f>IFERROR(_xll.OwnShares(A14),"-")</f>
        <v>8246216</v>
      </c>
      <c r="H14" s="45">
        <f>IFERROR(F14-G14,"-")</f>
        <v>327892673</v>
      </c>
      <c r="I14" s="49">
        <f t="shared" si="0"/>
        <v>15378166363.699999</v>
      </c>
      <c r="J14" s="2" t="str">
        <f>_xll.FinancialsCurrency(A14)</f>
        <v>ISK</v>
      </c>
      <c r="K14" s="5">
        <f>IF(J14="ISK",1,_xll.CrossRate(CONCATENATE("ISK",J14)))</f>
        <v>1</v>
      </c>
      <c r="L14" s="45">
        <f t="shared" si="1"/>
        <v>15378166363.699999</v>
      </c>
      <c r="M14" s="18">
        <f>_xll.ReleaseDateD($A14,$U$2)</f>
        <v>42277</v>
      </c>
      <c r="N14" s="45">
        <f>_xll.KeyLookupD($A14,$U$2,"411")</f>
        <v>4122000000</v>
      </c>
      <c r="O14" s="45">
        <f>_xll.KeyLookupD($A14,$U$2,"422")</f>
        <v>296000000</v>
      </c>
      <c r="P14" s="45">
        <f>_xll.KeyLookupD($A14,$U$2,"Cash")</f>
        <v>803000000</v>
      </c>
      <c r="Q14" s="45">
        <f t="shared" ref="Q14:Q15" si="17">IFERROR(N14+O14-P14,"-")</f>
        <v>3615000000</v>
      </c>
      <c r="R14" s="45">
        <f t="shared" ref="R14:R15" si="18">IFERROR(L14-Q14,"-")</f>
        <v>11763166363.699999</v>
      </c>
      <c r="S14" s="45">
        <f>IFERROR(_xll.EBITDATrailingTwelveMonths(A14),"-")</f>
        <v>3284000000</v>
      </c>
      <c r="T14" s="45">
        <f>_xll.KeyLookupD($A14,$U$2,"Equity")</f>
        <v>9041000000</v>
      </c>
      <c r="U14" s="45">
        <f>IFERROR(_xll.EarningsTrailingTwelveMonhts(A14),"-")</f>
        <v>1311000000</v>
      </c>
      <c r="V14" s="45">
        <f>IFERROR(_xll.KeyLookupD($A14,$U$2,"TotalAssets"),"-")</f>
        <v>15614000000</v>
      </c>
      <c r="W14" s="45">
        <f>_xll.KeyLookupD($A14,$M14-360,"Equity")</f>
        <v>8344000000</v>
      </c>
      <c r="X14" s="15">
        <f t="shared" ref="X14:X15" si="19">IFERROR(R14/S14,"-")</f>
        <v>3.58196296093179</v>
      </c>
      <c r="Y14" s="15">
        <f t="shared" ref="Y14:Y15" si="20">IFERROR(L14/T14,"-")</f>
        <v>1.7009364410684658</v>
      </c>
      <c r="Z14" s="15">
        <f t="shared" ref="Z14:Z15" si="21">IFERROR(L14/U14,"-")</f>
        <v>11.730104015026697</v>
      </c>
      <c r="AA14" s="16">
        <f t="shared" ref="AA14:AA15" si="22">IFERROR(T14/V14,"-")</f>
        <v>0.57903163827334447</v>
      </c>
      <c r="AB14" s="16">
        <f t="shared" si="8"/>
        <v>0.15711888782358582</v>
      </c>
    </row>
    <row r="15" spans="1:28" x14ac:dyDescent="0.2">
      <c r="A15" s="1" t="s">
        <v>33</v>
      </c>
      <c r="B15" s="3">
        <f>IFERROR(_xll.LastPriceD(A15,$U$2),"-")</f>
        <v>3.5</v>
      </c>
      <c r="C15" s="35">
        <f>IFERROR(_xll.LastPriceD($A15,$U$2)/_xll.LastPriceD($A15,$U$2-1)-1,"-")</f>
        <v>0</v>
      </c>
      <c r="D15" s="6" t="str">
        <f>IFERROR(B15/_xll.LastPriceD($A15,$U$2-365)-1,"-")</f>
        <v>-</v>
      </c>
      <c r="E15" s="42">
        <f>_xll.VolumeTradedDD($A15,$U$2,$U$2)</f>
        <v>0</v>
      </c>
      <c r="F15" s="45">
        <f>IFERROR(_xll.TotalIssue(A15),"-")</f>
        <v>9650000000</v>
      </c>
      <c r="G15" s="45">
        <f>IFERROR(_xll.OwnShares(A15),"-")</f>
        <v>19</v>
      </c>
      <c r="H15" s="45">
        <f>IFERROR(F15-G15,"-")</f>
        <v>9649999981</v>
      </c>
      <c r="I15" s="49">
        <f t="shared" si="0"/>
        <v>33774999933.5</v>
      </c>
      <c r="J15" s="2" t="str">
        <f>_xll.FinancialsCurrency(A15)</f>
        <v>ISK</v>
      </c>
      <c r="K15" s="5">
        <f>IF(J15="ISK",1,_xll.CrossRate(CONCATENATE("ISK",J15)))</f>
        <v>1</v>
      </c>
      <c r="L15" s="45">
        <f t="shared" si="1"/>
        <v>33774999933.5</v>
      </c>
      <c r="M15" s="18">
        <f>_xll.ReleaseDateD($A15,$U$2)</f>
        <v>42277</v>
      </c>
      <c r="N15" s="45">
        <f>_xll.KeyLookupD($A15,$U$2,"411")</f>
        <v>23064000000</v>
      </c>
      <c r="O15" s="45">
        <f>_xll.KeyLookupD($A15,$U$2,"422")</f>
        <v>0</v>
      </c>
      <c r="P15" s="45">
        <f>_xll.KeyLookupD($A15,$U$2,"Cash")</f>
        <v>4415000000</v>
      </c>
      <c r="Q15" s="45">
        <f t="shared" si="17"/>
        <v>18649000000</v>
      </c>
      <c r="R15" s="45">
        <f t="shared" si="18"/>
        <v>15125999933.5</v>
      </c>
      <c r="S15" s="50">
        <f>IFERROR((_xll.EBITDA($A15,2015,"6M")+_xll.EBITDA($A15,2014,"2H")),"-")</f>
        <v>8338000000</v>
      </c>
      <c r="T15" s="45">
        <f>_xll.KeyLookupD($A15,$U$2,"Equity")</f>
        <v>32084000000</v>
      </c>
      <c r="U15" s="50">
        <f>IFERROR((_xll.Earnings($A15,2015,"6M")+_xll.Earnings($A15,2014,"2H")),"-")</f>
        <v>3261000000</v>
      </c>
      <c r="V15" s="45">
        <f>IFERROR(_xll.KeyLookupD($A15,$U$2,"TotalAssets"),"-")</f>
        <v>61885000000</v>
      </c>
      <c r="W15" s="45">
        <f>_xll.KeyLookupD($A15,$M15-360,"Equity")</f>
        <v>28184000000</v>
      </c>
      <c r="X15" s="15">
        <f t="shared" si="19"/>
        <v>1.8141040937275126</v>
      </c>
      <c r="Y15" s="15">
        <f t="shared" si="20"/>
        <v>1.0527053962567012</v>
      </c>
      <c r="Z15" s="15">
        <f t="shared" si="21"/>
        <v>10.357252356179087</v>
      </c>
      <c r="AA15" s="16">
        <f t="shared" si="22"/>
        <v>0.51844550375696852</v>
      </c>
      <c r="AB15" s="16">
        <f t="shared" si="8"/>
        <v>0.11570394550099347</v>
      </c>
    </row>
    <row r="16" spans="1:28" ht="6" customHeight="1" x14ac:dyDescent="0.2">
      <c r="B16" s="3"/>
      <c r="C16" s="3"/>
      <c r="D16" s="6"/>
      <c r="E16" s="36"/>
      <c r="F16" s="4"/>
      <c r="G16" s="4"/>
      <c r="H16" s="45"/>
      <c r="I16" s="49"/>
      <c r="J16" s="2"/>
      <c r="K16" s="5"/>
      <c r="L16" s="45"/>
      <c r="M16" s="4"/>
      <c r="N16" s="4"/>
      <c r="O16" s="4"/>
      <c r="P16" s="4"/>
      <c r="Q16" s="45"/>
      <c r="R16" s="45"/>
      <c r="S16" s="4"/>
      <c r="T16" s="4"/>
      <c r="U16" s="4"/>
      <c r="V16" s="4"/>
      <c r="W16" s="4"/>
      <c r="X16" s="17"/>
      <c r="Y16" s="17"/>
      <c r="Z16" s="17"/>
      <c r="AA16" s="12"/>
      <c r="AB16" s="12"/>
    </row>
    <row r="17" spans="1:29" x14ac:dyDescent="0.2">
      <c r="A17" s="23" t="s">
        <v>4</v>
      </c>
      <c r="B17" s="24">
        <f>IFERROR(_xll.LastPriceD(A17,$U$2),"-")</f>
        <v>8.86</v>
      </c>
      <c r="C17" s="37">
        <f>IFERROR(_xll.LastPriceD($A17,$U$2)/_xll.LastPriceD($A17,$U$2-1)-1,"-")</f>
        <v>0</v>
      </c>
      <c r="D17" s="25">
        <f>IFERROR(B17/_xll.LastPriceD($A17,$U$2-365)-1,"-")</f>
        <v>5.6753688989783502E-3</v>
      </c>
      <c r="E17" s="43">
        <f>_xll.VolumeTradedDD($A17,$U$2,$U$2)</f>
        <v>0</v>
      </c>
      <c r="F17" s="46">
        <f>IFERROR(_xll.TotalIssue(A17),"-")</f>
        <v>2438480516</v>
      </c>
      <c r="G17" s="46">
        <f>IFERROR(_xll.OwnShares(A17),"-")</f>
        <v>132039163</v>
      </c>
      <c r="H17" s="46">
        <f>IFERROR(F17-G17,"-")</f>
        <v>2306441353</v>
      </c>
      <c r="I17" s="46">
        <f>IFERROR(H17*B17,"-")</f>
        <v>20435070387.579998</v>
      </c>
      <c r="J17" s="21" t="str">
        <f>_xll.FinancialsCurrency(A17)</f>
        <v>ISK</v>
      </c>
      <c r="K17" s="22">
        <f>IF(J17="ISK",1,_xll.CrossRate(CONCATENATE("ISK",J17)))</f>
        <v>1</v>
      </c>
      <c r="L17" s="46">
        <f>IFERROR(I17/K17,"-")</f>
        <v>20435070387.579998</v>
      </c>
      <c r="M17" s="19">
        <f>_xll.ReleaseDateD($A17,$U$2)</f>
        <v>42277</v>
      </c>
      <c r="N17" s="20"/>
      <c r="O17" s="20"/>
      <c r="P17" s="20"/>
      <c r="Q17" s="46"/>
      <c r="R17" s="46"/>
      <c r="S17" s="46">
        <f>IFERROR(_xll.EBITDATrailingTwelveMonths(A17),"-")</f>
        <v>3045274000</v>
      </c>
      <c r="T17" s="46">
        <f>_xll.KeyLookupD($A17,$U$2,"Equity")</f>
        <v>14546415000</v>
      </c>
      <c r="U17" s="46">
        <f>IFERROR(_xll.EarningsTrailingTwelveMonhts(A17),"-")</f>
        <v>2793680000</v>
      </c>
      <c r="V17" s="46">
        <f>IFERROR(_xll.KeyLookupD($A17,$U$2,"TotalAssets"),"-")</f>
        <v>46792933000</v>
      </c>
      <c r="W17" s="46">
        <f>_xll.KeyLookupD($A17,$M17-360,"Equity")</f>
        <v>15392123000</v>
      </c>
      <c r="X17" s="15"/>
      <c r="Y17" s="15">
        <f t="shared" ref="Y17:Y19" si="23">IFERROR(L17/T17,"-")</f>
        <v>1.4048183272359545</v>
      </c>
      <c r="Z17" s="15">
        <f t="shared" ref="Z17:Z19" si="24">IFERROR(L17/U17,"-")</f>
        <v>7.3147498595329452</v>
      </c>
      <c r="AA17" s="16">
        <f t="shared" ref="AA17:AA19" si="25">IFERROR(T17/V17,"-")</f>
        <v>0.31086777569595819</v>
      </c>
      <c r="AB17" s="16">
        <f>IFERROR(U17/W17,"-")</f>
        <v>0.18150062860074598</v>
      </c>
    </row>
    <row r="18" spans="1:29" x14ac:dyDescent="0.2">
      <c r="A18" s="23" t="s">
        <v>5</v>
      </c>
      <c r="B18" s="24">
        <f>IFERROR(_xll.LastPriceD(A18,$U$2),"-")</f>
        <v>12.9</v>
      </c>
      <c r="C18" s="37">
        <f>IFERROR(_xll.LastPriceD($A18,$U$2)/_xll.LastPriceD($A18,$U$2-1)-1,"-")</f>
        <v>0</v>
      </c>
      <c r="D18" s="25">
        <f>IFERROR(B18/_xll.LastPriceD($A18,$U$2-365)-1,"-")</f>
        <v>7.4999999999999956E-2</v>
      </c>
      <c r="E18" s="43">
        <f>_xll.VolumeTradedDD($A18,$U$2,$U$2)</f>
        <v>0</v>
      </c>
      <c r="F18" s="46">
        <f>IFERROR(_xll.TotalIssue(A18),"-")</f>
        <v>1592520994</v>
      </c>
      <c r="G18" s="46">
        <f>IFERROR(_xll.OwnShares(A18),"-")</f>
        <v>24105280</v>
      </c>
      <c r="H18" s="46">
        <f>IFERROR(F18-G18,"-")</f>
        <v>1568415714</v>
      </c>
      <c r="I18" s="46">
        <f>IFERROR(H18*B18,"-")</f>
        <v>20232562710.600002</v>
      </c>
      <c r="J18" s="21" t="str">
        <f>_xll.FinancialsCurrency(A18)</f>
        <v>ISK</v>
      </c>
      <c r="K18" s="22">
        <f>IF(J18="ISK",1,_xll.CrossRate(CONCATENATE("ISK",J18)))</f>
        <v>1</v>
      </c>
      <c r="L18" s="46">
        <f>IFERROR(I18/K18,"-")</f>
        <v>20232562710.600002</v>
      </c>
      <c r="M18" s="19">
        <f>_xll.ReleaseDateD($A18,$U$2)</f>
        <v>42277</v>
      </c>
      <c r="N18" s="20"/>
      <c r="O18" s="20"/>
      <c r="P18" s="20"/>
      <c r="Q18" s="46"/>
      <c r="R18" s="46"/>
      <c r="S18" s="46">
        <f>IFERROR(_xll.EBITDATrailingTwelveMonths(A18),"-")</f>
        <v>4028268000</v>
      </c>
      <c r="T18" s="46">
        <f>_xll.KeyLookupD($A18,$U$2,"Equity")</f>
        <v>16287098000</v>
      </c>
      <c r="U18" s="46">
        <f>IFERROR(_xll.EarningsTrailingTwelveMonhts(A18),"-")</f>
        <v>3286933000</v>
      </c>
      <c r="V18" s="46">
        <f>IFERROR(_xll.KeyLookupD($A18,$U$2,"TotalAssets"),"-")</f>
        <v>44547440000</v>
      </c>
      <c r="W18" s="46">
        <f>_xll.KeyLookupD($A18,$M18-360,"Equity")</f>
        <v>17196214000</v>
      </c>
      <c r="X18" s="15"/>
      <c r="Y18" s="15">
        <f t="shared" si="23"/>
        <v>1.2422447946589381</v>
      </c>
      <c r="Z18" s="15">
        <f t="shared" si="24"/>
        <v>6.1554533392070976</v>
      </c>
      <c r="AA18" s="16">
        <f t="shared" si="25"/>
        <v>0.3656124347437249</v>
      </c>
      <c r="AB18" s="16">
        <f>IFERROR(U18/W18,"-")</f>
        <v>0.19114282946234562</v>
      </c>
    </row>
    <row r="19" spans="1:29" s="10" customFormat="1" x14ac:dyDescent="0.2">
      <c r="A19" s="23" t="s">
        <v>6</v>
      </c>
      <c r="B19" s="24">
        <f>IFERROR(_xll.LastPriceD(A19,$U$2),"-")</f>
        <v>23.3</v>
      </c>
      <c r="C19" s="37">
        <f>IFERROR(_xll.LastPriceD($A19,$U$2)/_xll.LastPriceD($A19,$U$2-1)-1,"-")</f>
        <v>0</v>
      </c>
      <c r="D19" s="25">
        <f>IFERROR(B19/_xll.LastPriceD($A19,$U$2-365)-1,"-")</f>
        <v>-9.5145631067961145E-2</v>
      </c>
      <c r="E19" s="43">
        <f>_xll.VolumeTradedDD($A19,$U$2,$U$2)</f>
        <v>0</v>
      </c>
      <c r="F19" s="46">
        <f>IFERROR(_xll.TotalIssue(A19),"-")</f>
        <v>739393888</v>
      </c>
      <c r="G19" s="46">
        <f>IFERROR(_xll.OwnShares(A19),"-")</f>
        <v>18812328</v>
      </c>
      <c r="H19" s="46">
        <f>IFERROR(F19-G19,"-")</f>
        <v>720581560</v>
      </c>
      <c r="I19" s="46">
        <f>IFERROR(H19*B19,"-")</f>
        <v>16789550348</v>
      </c>
      <c r="J19" s="21" t="str">
        <f>_xll.FinancialsCurrency(A19)</f>
        <v>ISK</v>
      </c>
      <c r="K19" s="22">
        <f>IF(J19="ISK",1,_xll.CrossRate(CONCATENATE("ISK",J19)))</f>
        <v>1</v>
      </c>
      <c r="L19" s="46">
        <f>IFERROR(I19/K19,"-")</f>
        <v>16789550348</v>
      </c>
      <c r="M19" s="19">
        <f>_xll.ReleaseDateD($A19,$U$2)</f>
        <v>42277</v>
      </c>
      <c r="N19" s="20"/>
      <c r="O19" s="20"/>
      <c r="P19" s="20"/>
      <c r="Q19" s="46"/>
      <c r="R19" s="46"/>
      <c r="S19" s="46">
        <f>IFERROR(_xll.EBITDATrailingTwelveMonths(A19),"-")</f>
        <v>2841623000</v>
      </c>
      <c r="T19" s="46">
        <f>_xll.KeyLookupD($A19,$U$2,"Equity")</f>
        <v>11781317000</v>
      </c>
      <c r="U19" s="46">
        <f>IFERROR(_xll.EarningsTrailingTwelveMonhts(A19),"-")</f>
        <v>2509104000</v>
      </c>
      <c r="V19" s="46">
        <f>IFERROR(_xll.KeyLookupD($A19,$U$2,"TotalAssets"),"-")</f>
        <v>33046938000</v>
      </c>
      <c r="W19" s="46">
        <f>_xll.KeyLookupD($A19,$M19-360,"Equity")</f>
        <v>12062235000</v>
      </c>
      <c r="X19" s="15"/>
      <c r="Y19" s="15">
        <f t="shared" si="23"/>
        <v>1.4250996173008501</v>
      </c>
      <c r="Z19" s="15">
        <f t="shared" si="24"/>
        <v>6.6914525456099065</v>
      </c>
      <c r="AA19" s="16">
        <f t="shared" si="25"/>
        <v>0.35650252982591002</v>
      </c>
      <c r="AB19" s="16">
        <f>IFERROR(U19/W19,"-")</f>
        <v>0.20801319158514156</v>
      </c>
    </row>
    <row r="20" spans="1:29" s="10" customFormat="1" ht="6" customHeight="1" x14ac:dyDescent="0.2">
      <c r="E20" s="36"/>
      <c r="G20" s="48"/>
      <c r="H20" s="48"/>
      <c r="I20" s="48"/>
      <c r="L20" s="48"/>
      <c r="Q20" s="48"/>
      <c r="R20" s="48"/>
    </row>
    <row r="21" spans="1:29" s="10" customFormat="1" x14ac:dyDescent="0.2">
      <c r="A21" s="29" t="s">
        <v>8</v>
      </c>
      <c r="B21" s="30">
        <f>IFERROR(_xll.LastPriceD(A21,$U$2),"-")</f>
        <v>19.175000000000001</v>
      </c>
      <c r="C21" s="38">
        <f>IFERROR(_xll.LastPriceD($A21,$U$2)/_xll.LastPriceD($A21,$U$2-1)-1,"-")</f>
        <v>0</v>
      </c>
      <c r="D21" s="31">
        <f>IFERROR(B21/_xll.LastPriceD($A21,$U$2-365)-1,"-")</f>
        <v>0.35608203677510608</v>
      </c>
      <c r="E21" s="44">
        <f>_xll.VolumeTradedDD($A21,$U$2,$U$2)</f>
        <v>0</v>
      </c>
      <c r="F21" s="47">
        <f>IFERROR(_xll.TotalIssue(A21),"-")</f>
        <v>1428700000</v>
      </c>
      <c r="G21" s="46">
        <f>IFERROR(_xll.OwnShares(A21),"-")</f>
        <v>0</v>
      </c>
      <c r="H21" s="47">
        <f>IFERROR(F21-G21,"-")</f>
        <v>1428700000</v>
      </c>
      <c r="I21" s="47">
        <f>IFERROR(H21*B21,"-")</f>
        <v>27395322500</v>
      </c>
      <c r="J21" s="32" t="str">
        <f>_xll.FinancialsCurrency(A21)</f>
        <v>ISK</v>
      </c>
      <c r="K21" s="33">
        <f>IF(J21="ISK",1,_xll.CrossRate(CONCATENATE("ISK",J21)))</f>
        <v>1</v>
      </c>
      <c r="L21" s="47">
        <f>IFERROR(I21/K21,"-")</f>
        <v>27395322500</v>
      </c>
      <c r="M21" s="34">
        <f>_xll.ReleaseDateD($A21,$U$2)</f>
        <v>42185</v>
      </c>
      <c r="N21" s="47">
        <f>_xll.KeyLookupD($A21,$U$2,"411")</f>
        <v>33867000000</v>
      </c>
      <c r="O21" s="47">
        <f>_xll.KeyLookupD($A21,$U$2,"422")</f>
        <v>4813000000</v>
      </c>
      <c r="P21" s="47">
        <f>_xll.KeyLookupD($A21,$U$2,"Cash")</f>
        <v>595000000</v>
      </c>
      <c r="Q21" s="47">
        <f t="shared" ref="Q21:Q23" si="26">IFERROR(N21+O21-P21,"-")</f>
        <v>38085000000</v>
      </c>
      <c r="R21" s="47">
        <f t="shared" ref="R21:R23" si="27">IFERROR(L21-Q21,"-")</f>
        <v>-10689677500</v>
      </c>
      <c r="S21" s="47">
        <f>IFERROR(_xll.EBITDATrailingTwelveMonths(A21),"-")</f>
        <v>3419000000</v>
      </c>
      <c r="T21" s="47">
        <f>_xll.KeyLookupD($A21,$U$2,"Equity")</f>
        <v>19102000000</v>
      </c>
      <c r="U21" s="47">
        <f>IFERROR(_xll.EarningsTrailingTwelveMonhts(A21),"-")</f>
        <v>2693000000</v>
      </c>
      <c r="V21" s="47">
        <f>IFERROR(_xll.KeyLookupD($A21,$U$2,"TotalAssets"),"-")</f>
        <v>62198000000</v>
      </c>
      <c r="W21" s="46">
        <f>_xll.KeyLookupD($A21,$M21-360,"Equity")</f>
        <v>16409000000</v>
      </c>
      <c r="X21" s="15">
        <f t="shared" ref="X21:X23" si="28">IFERROR(R21/S21,"-")</f>
        <v>-3.126550892073706</v>
      </c>
      <c r="Y21" s="15">
        <f t="shared" ref="Y21:Y23" si="29">IFERROR(L21/T21,"-")</f>
        <v>1.4341599047220186</v>
      </c>
      <c r="Z21" s="15">
        <f t="shared" ref="Z21:Z23" si="30">IFERROR(L21/U21,"-")</f>
        <v>10.172789639806906</v>
      </c>
      <c r="AA21" s="16">
        <f t="shared" ref="AA21:AA23" si="31">IFERROR(T21/V21,"-")</f>
        <v>0.30711598443679861</v>
      </c>
      <c r="AB21" s="16">
        <f>IFERROR(U21/W21,"-")</f>
        <v>0.16411725272716193</v>
      </c>
    </row>
    <row r="22" spans="1:29" s="10" customFormat="1" x14ac:dyDescent="0.2">
      <c r="A22" s="29" t="s">
        <v>9</v>
      </c>
      <c r="B22" s="30">
        <f>IFERROR(_xll.LastPriceD(A22,$U$2),"-")</f>
        <v>83.65</v>
      </c>
      <c r="C22" s="38">
        <f>IFERROR(_xll.LastPriceD($A22,$U$2)/_xll.LastPriceD($A22,$U$2-1)-1,"-")</f>
        <v>0</v>
      </c>
      <c r="D22" s="31" t="str">
        <f>IFERROR(B22/_xll.LastPriceD($A22,$U$2-365)-1,"-")</f>
        <v>-</v>
      </c>
      <c r="E22" s="44">
        <f>_xll.VolumeTradedDD($A22,$U$2,$U$2)</f>
        <v>0</v>
      </c>
      <c r="F22" s="47">
        <f>IFERROR(_xll.TotalIssue(A22),"-")</f>
        <v>754713861</v>
      </c>
      <c r="G22" s="46">
        <f>IFERROR(_xll.OwnShares(A22),"-")</f>
        <v>7633326</v>
      </c>
      <c r="H22" s="47">
        <f>IFERROR(F22-G22,"-")</f>
        <v>747080535</v>
      </c>
      <c r="I22" s="47">
        <f>IFERROR(H22*B22,"-")</f>
        <v>62493286752.750008</v>
      </c>
      <c r="J22" s="32" t="str">
        <f>_xll.FinancialsCurrency(A22)</f>
        <v>ISK</v>
      </c>
      <c r="K22" s="33">
        <f>IF(J22="ISK",1,_xll.CrossRate(CONCATENATE("ISK",J22)))</f>
        <v>1</v>
      </c>
      <c r="L22" s="47">
        <f>IFERROR(I22/K22,"-")</f>
        <v>62493286752.750008</v>
      </c>
      <c r="M22" s="34">
        <f>_xll.ReleaseDateD($A22,$U$2)</f>
        <v>42277</v>
      </c>
      <c r="N22" s="47">
        <f>_xll.KeyLookupD($A22,$U$2,"411")</f>
        <v>55914000000</v>
      </c>
      <c r="O22" s="47">
        <f>_xll.KeyLookupD($A22,$U$2,"422")</f>
        <v>1983000000</v>
      </c>
      <c r="P22" s="47">
        <f>_xll.KeyLookupD($A22,$U$2,"Cash")</f>
        <v>1165000000</v>
      </c>
      <c r="Q22" s="47">
        <f t="shared" si="26"/>
        <v>56732000000</v>
      </c>
      <c r="R22" s="47">
        <f t="shared" si="27"/>
        <v>5761286752.7500076</v>
      </c>
      <c r="S22" s="50">
        <f>IFERROR((_xll.EBITDA($A22,2015,"6M")+_xll.EBITDA($A22,2014,"2H")),"-")</f>
        <v>5890000000</v>
      </c>
      <c r="T22" s="47">
        <f>_xll.KeyLookupD($A22,$U$2,"Equity")</f>
        <v>45074000000</v>
      </c>
      <c r="U22" s="50">
        <f>IFERROR((_xll.Earnings($A22,2015,"6M")+_xll.Earnings($A22,2014,"2H")),"-")</f>
        <v>3696000000</v>
      </c>
      <c r="V22" s="47">
        <f>IFERROR(_xll.KeyLookupD($A22,$U$2,"TotalAssets"),"-")</f>
        <v>111425000000</v>
      </c>
      <c r="W22" s="46">
        <f>_xll.KeyLookupD($A22,$M22-360,"Equity")</f>
        <v>22290000000</v>
      </c>
      <c r="X22" s="15">
        <f t="shared" si="28"/>
        <v>0.97814715666383834</v>
      </c>
      <c r="Y22" s="15">
        <f t="shared" si="29"/>
        <v>1.3864597495840176</v>
      </c>
      <c r="Z22" s="15">
        <f t="shared" si="30"/>
        <v>16.90835680539773</v>
      </c>
      <c r="AA22" s="16">
        <f t="shared" si="31"/>
        <v>0.40452322189813777</v>
      </c>
      <c r="AB22" s="16">
        <f>IFERROR(U22/W22,"-")</f>
        <v>0.16581426648721401</v>
      </c>
    </row>
    <row r="23" spans="1:29" x14ac:dyDescent="0.2">
      <c r="A23" s="29" t="s">
        <v>10</v>
      </c>
      <c r="B23" s="30">
        <f>IFERROR(_xll.LastPriceD(A23,$U$2),"-")</f>
        <v>7.9</v>
      </c>
      <c r="C23" s="38">
        <f>IFERROR(_xll.LastPriceD($A23,$U$2)/_xll.LastPriceD($A23,$U$2-1)-1,"-")</f>
        <v>0</v>
      </c>
      <c r="D23" s="31" t="str">
        <f>IFERROR(B23/_xll.LastPriceD($A23,$U$2-365)-1,"-")</f>
        <v>-</v>
      </c>
      <c r="E23" s="44">
        <f>_xll.VolumeTradedDD($A23,$U$2,$U$2)</f>
        <v>0</v>
      </c>
      <c r="F23" s="47">
        <f>IFERROR(_xll.TotalIssue(A23),"-")</f>
        <v>3465180435</v>
      </c>
      <c r="G23" s="46">
        <f>IFERROR(_xll.OwnShares(A23),"-")</f>
        <v>8800000</v>
      </c>
      <c r="H23" s="47">
        <f>IFERROR(F23-G23,"-")</f>
        <v>3456380435</v>
      </c>
      <c r="I23" s="47">
        <f>IFERROR(H23*B23,"-")</f>
        <v>27305405436.5</v>
      </c>
      <c r="J23" s="32" t="str">
        <f>_xll.FinancialsCurrency(A23)</f>
        <v>ISK</v>
      </c>
      <c r="K23" s="33">
        <f>IF(J23="ISK",1,_xll.CrossRate(CONCATENATE("ISK",J23)))</f>
        <v>1</v>
      </c>
      <c r="L23" s="47">
        <f>IFERROR(I23/K23,"-")</f>
        <v>27305405436.5</v>
      </c>
      <c r="M23" s="34">
        <f>_xll.ReleaseDateD($A23,$U$2)</f>
        <v>42185</v>
      </c>
      <c r="N23" s="47">
        <f>_xll.KeyLookupD($A23,$U$2,"411")</f>
        <v>40584000000</v>
      </c>
      <c r="O23" s="47">
        <f>_xll.KeyLookupD($A23,$U$2,"422")</f>
        <v>1264000000</v>
      </c>
      <c r="P23" s="47">
        <f>_xll.KeyLookupD($A23,$U$2,"Cash")</f>
        <v>1499000000</v>
      </c>
      <c r="Q23" s="47">
        <f t="shared" si="26"/>
        <v>40349000000</v>
      </c>
      <c r="R23" s="47">
        <f t="shared" si="27"/>
        <v>-13043594563.5</v>
      </c>
      <c r="S23" s="50">
        <f>IFERROR((_xll.EBITDA($A23,2015,"6M")+_xll.EBITDA($A23,2014,"2H")),"-")</f>
        <v>4129000000</v>
      </c>
      <c r="T23" s="47">
        <f>_xll.KeyLookupD($A23,$U$2,"Equity")</f>
        <v>20432000000</v>
      </c>
      <c r="U23" s="50">
        <f>IFERROR((_xll.Earnings($A23,2015,"6M")+_xll.Earnings($A23,2014,"2H")),"-")</f>
        <v>2452000000</v>
      </c>
      <c r="V23" s="47">
        <f>IFERROR(_xll.KeyLookupD($A23,$U$2,"TotalAssets"),"-")</f>
        <v>65827000000</v>
      </c>
      <c r="W23" s="46">
        <f>_xll.KeyLookupD($A23,$M23-360,"Equity")</f>
        <v>8716000000</v>
      </c>
      <c r="X23" s="15">
        <f t="shared" si="28"/>
        <v>-3.1590202381932673</v>
      </c>
      <c r="Y23" s="15">
        <f t="shared" si="29"/>
        <v>1.3364039465788959</v>
      </c>
      <c r="Z23" s="15">
        <f t="shared" si="30"/>
        <v>11.135972853384992</v>
      </c>
      <c r="AA23" s="16">
        <f t="shared" si="31"/>
        <v>0.31038935391252831</v>
      </c>
      <c r="AB23" s="16">
        <f>IFERROR(U23/W23,"-")</f>
        <v>0.28132170720513999</v>
      </c>
    </row>
    <row r="24" spans="1:29" x14ac:dyDescent="0.2">
      <c r="A24" s="10"/>
      <c r="B24" s="11"/>
      <c r="C24" s="11"/>
      <c r="D24" s="11"/>
      <c r="E24" s="11"/>
      <c r="F24" s="9"/>
      <c r="G24" s="9"/>
      <c r="H24" s="9"/>
      <c r="I24" s="12"/>
      <c r="J24" s="9"/>
      <c r="K24" s="13"/>
      <c r="L24" s="14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17"/>
      <c r="Z24" s="17"/>
      <c r="AA24" s="17"/>
      <c r="AB24" s="12"/>
      <c r="AC24" s="12"/>
    </row>
    <row r="25" spans="1:29" x14ac:dyDescent="0.2">
      <c r="A25" s="39" t="s">
        <v>45</v>
      </c>
      <c r="B25" s="39"/>
      <c r="C25" s="39"/>
    </row>
    <row r="26" spans="1:29" s="10" customFormat="1" x14ac:dyDescent="0.2">
      <c r="A26" s="40" t="s">
        <v>44</v>
      </c>
      <c r="B26" s="40"/>
      <c r="C26" s="40"/>
    </row>
    <row r="27" spans="1:29" s="10" customFormat="1" x14ac:dyDescent="0.2">
      <c r="A27" s="41" t="s">
        <v>46</v>
      </c>
      <c r="B27" s="41"/>
      <c r="C27" s="4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</sheetData>
  <mergeCells count="1">
    <mergeCell ref="U2:V2"/>
  </mergeCells>
  <conditionalFormatting sqref="C6:D23">
    <cfRule type="cellIs" dxfId="1" priority="1" operator="greaterThan">
      <formula>0</formula>
    </cfRule>
    <cfRule type="cellIs" dxfId="0" priority="2" operator="lessThan">
      <formula>0</formula>
    </cfRule>
  </conditionalFormatting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KODIAK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cp:lastModifiedBy>Notandi</cp:lastModifiedBy>
  <cp:lastPrinted>2015-10-02T15:36:27Z</cp:lastPrinted>
  <dcterms:created xsi:type="dcterms:W3CDTF">2015-09-30T10:13:36Z</dcterms:created>
  <dcterms:modified xsi:type="dcterms:W3CDTF">2015-11-23T10:03:00Z</dcterms:modified>
</cp:coreProperties>
</file>