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tandi\Dropbox\base_einar\projects\kodi\kodiak_excel\testing_demodocs\"/>
    </mc:Choice>
  </mc:AlternateContent>
  <bookViews>
    <workbookView xWindow="0" yWindow="0" windowWidth="21600" windowHeight="9735"/>
  </bookViews>
  <sheets>
    <sheet name="KODIA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8" i="1"/>
  <c r="E15" i="1"/>
  <c r="E13" i="1"/>
  <c r="C23" i="1"/>
  <c r="C18" i="1"/>
  <c r="C15" i="1"/>
  <c r="C13" i="1"/>
  <c r="U15" i="1"/>
  <c r="S23" i="1"/>
  <c r="J14" i="1"/>
  <c r="S21" i="1"/>
  <c r="J19" i="1"/>
  <c r="U18" i="1"/>
  <c r="S13" i="1"/>
  <c r="J12" i="1"/>
  <c r="U11" i="1"/>
  <c r="J9" i="1"/>
  <c r="J8" i="1"/>
  <c r="U7" i="1"/>
  <c r="E22" i="1"/>
  <c r="E17" i="1"/>
  <c r="E8" i="1"/>
  <c r="E10" i="1"/>
  <c r="C22" i="1"/>
  <c r="C17" i="1"/>
  <c r="C8" i="1"/>
  <c r="C10" i="1"/>
  <c r="U23" i="1"/>
  <c r="S22" i="1"/>
  <c r="U14" i="1"/>
  <c r="J21" i="1"/>
  <c r="U19" i="1"/>
  <c r="S17" i="1"/>
  <c r="J13" i="1"/>
  <c r="U12" i="1"/>
  <c r="J10" i="1"/>
  <c r="U9" i="1"/>
  <c r="U8" i="1"/>
  <c r="E21" i="1"/>
  <c r="E7" i="1"/>
  <c r="E12" i="1"/>
  <c r="E14" i="1"/>
  <c r="C21" i="1"/>
  <c r="C7" i="1"/>
  <c r="C12" i="1"/>
  <c r="C14" i="1"/>
  <c r="U22" i="1"/>
  <c r="J15" i="1"/>
  <c r="J23" i="1"/>
  <c r="U21" i="1"/>
  <c r="S18" i="1"/>
  <c r="J17" i="1"/>
  <c r="U13" i="1"/>
  <c r="S11" i="1"/>
  <c r="U10" i="1"/>
  <c r="S9" i="1"/>
  <c r="S7" i="1"/>
  <c r="E19" i="1"/>
  <c r="E11" i="1"/>
  <c r="E9" i="1"/>
  <c r="E6" i="1"/>
  <c r="C19" i="1"/>
  <c r="C11" i="1"/>
  <c r="C9" i="1"/>
  <c r="C6" i="1"/>
  <c r="S15" i="1"/>
  <c r="S14" i="1"/>
  <c r="J22" i="1"/>
  <c r="S19" i="1"/>
  <c r="J18" i="1"/>
  <c r="U17" i="1"/>
  <c r="S12" i="1"/>
  <c r="J11" i="1"/>
  <c r="S10" i="1"/>
  <c r="S8" i="1"/>
  <c r="J7" i="1"/>
  <c r="G22" i="1"/>
  <c r="G11" i="1"/>
  <c r="B15" i="1"/>
  <c r="J6" i="1"/>
  <c r="F9" i="1"/>
  <c r="G21" i="1"/>
  <c r="G12" i="1"/>
  <c r="B7" i="1"/>
  <c r="S6" i="1"/>
  <c r="U6" i="1"/>
  <c r="F8" i="1"/>
  <c r="G18" i="1"/>
  <c r="G8" i="1"/>
  <c r="F23" i="1"/>
  <c r="F7" i="1"/>
  <c r="G7" i="1"/>
  <c r="G6" i="1"/>
  <c r="F14" i="1"/>
  <c r="F15" i="1"/>
  <c r="F6" i="1"/>
  <c r="F22" i="1"/>
  <c r="B9" i="1"/>
  <c r="G17" i="1"/>
  <c r="F13" i="1"/>
  <c r="G19" i="1"/>
  <c r="B11" i="1"/>
  <c r="B19" i="1"/>
  <c r="F18" i="1"/>
  <c r="F19" i="1"/>
  <c r="F12" i="1"/>
  <c r="B22" i="1"/>
  <c r="B12" i="1"/>
  <c r="B6" i="1"/>
  <c r="G13" i="1"/>
  <c r="B23" i="1"/>
  <c r="B10" i="1"/>
  <c r="G15" i="1"/>
  <c r="F21" i="1"/>
  <c r="B21" i="1"/>
  <c r="F11" i="1"/>
  <c r="B17" i="1"/>
  <c r="B13" i="1"/>
  <c r="B8" i="1"/>
  <c r="F10" i="1"/>
  <c r="F17" i="1"/>
  <c r="U2" i="1"/>
  <c r="N21" i="1"/>
  <c r="O22" i="1"/>
  <c r="N23" i="1"/>
  <c r="O14" i="1"/>
  <c r="T15" i="1"/>
  <c r="V13" i="1"/>
  <c r="V6" i="1"/>
  <c r="N8" i="1"/>
  <c r="M9" i="1"/>
  <c r="V10" i="1"/>
  <c r="G10" i="1"/>
  <c r="G14" i="1"/>
  <c r="G9" i="1"/>
  <c r="G23" i="1"/>
  <c r="B14" i="1"/>
  <c r="B18" i="1"/>
  <c r="M6" i="1"/>
  <c r="V19" i="1"/>
  <c r="V21" i="1"/>
  <c r="P22" i="1"/>
  <c r="M14" i="1"/>
  <c r="V15" i="1"/>
  <c r="T12" i="1"/>
  <c r="M7" i="1"/>
  <c r="V8" i="1"/>
  <c r="N9" i="1"/>
  <c r="M11" i="1"/>
  <c r="M12" i="1"/>
  <c r="V11" i="1"/>
  <c r="N10" i="1"/>
  <c r="O10" i="1"/>
  <c r="T9" i="1"/>
  <c r="P8" i="1"/>
  <c r="M8" i="1"/>
  <c r="V7" i="1"/>
  <c r="T6" i="1"/>
  <c r="T13" i="1"/>
  <c r="N13" i="1"/>
  <c r="O12" i="1"/>
  <c r="P15" i="1"/>
  <c r="M15" i="1"/>
  <c r="V14" i="1"/>
  <c r="P23" i="1"/>
  <c r="M23" i="1"/>
  <c r="V22" i="1"/>
  <c r="P21" i="1"/>
  <c r="M21" i="1"/>
  <c r="T18" i="1"/>
  <c r="V17" i="1"/>
  <c r="P11" i="1"/>
  <c r="T10" i="1"/>
  <c r="O9" i="1"/>
  <c r="P7" i="1"/>
  <c r="O6" i="1"/>
  <c r="O13" i="1"/>
  <c r="N12" i="1"/>
  <c r="P14" i="1"/>
  <c r="V23" i="1"/>
  <c r="M22" i="1"/>
  <c r="M18" i="1"/>
  <c r="O11" i="1"/>
  <c r="P10" i="1"/>
  <c r="T8" i="1"/>
  <c r="O7" i="1"/>
  <c r="N6" i="1"/>
  <c r="P12" i="1"/>
  <c r="N15" i="1"/>
  <c r="T23" i="1"/>
  <c r="T21" i="1"/>
  <c r="M19" i="1"/>
  <c r="T17" i="1"/>
  <c r="T11" i="1"/>
  <c r="N11" i="1"/>
  <c r="M10" i="1"/>
  <c r="V9" i="1"/>
  <c r="P9" i="1"/>
  <c r="O8" i="1"/>
  <c r="T7" i="1"/>
  <c r="N7" i="1"/>
  <c r="P6" i="1"/>
  <c r="P13" i="1"/>
  <c r="M13" i="1"/>
  <c r="V12" i="1"/>
  <c r="O15" i="1"/>
  <c r="T14" i="1"/>
  <c r="N14" i="1"/>
  <c r="O23" i="1"/>
  <c r="T22" i="1"/>
  <c r="N22" i="1"/>
  <c r="O21" i="1"/>
  <c r="T19" i="1"/>
  <c r="V18" i="1"/>
  <c r="M17" i="1"/>
  <c r="AA19" i="1" l="1"/>
  <c r="Q22" i="1"/>
  <c r="AA22" i="1"/>
  <c r="Q14" i="1"/>
  <c r="AA14" i="1"/>
  <c r="Q7" i="1"/>
  <c r="AA7" i="1"/>
  <c r="Q11" i="1"/>
  <c r="AA11" i="1"/>
  <c r="AA17" i="1"/>
  <c r="AA21" i="1"/>
  <c r="AA23" i="1"/>
  <c r="Q15" i="1"/>
  <c r="Q6" i="1"/>
  <c r="AA8" i="1"/>
  <c r="Q12" i="1"/>
  <c r="AA10" i="1"/>
  <c r="AA18" i="1"/>
  <c r="Q13" i="1"/>
  <c r="AA13" i="1"/>
  <c r="AA6" i="1"/>
  <c r="AA9" i="1"/>
  <c r="Q10" i="1"/>
  <c r="Q9" i="1"/>
  <c r="AA12" i="1"/>
  <c r="Q8" i="1"/>
  <c r="AA15" i="1"/>
  <c r="Q23" i="1"/>
  <c r="Q21" i="1"/>
  <c r="H17" i="1"/>
  <c r="I17" i="1" s="1"/>
  <c r="L17" i="1" s="1"/>
  <c r="H10" i="1"/>
  <c r="I10" i="1" s="1"/>
  <c r="H11" i="1"/>
  <c r="I11" i="1" s="1"/>
  <c r="H21" i="1"/>
  <c r="I21" i="1" s="1"/>
  <c r="H12" i="1"/>
  <c r="I12" i="1" s="1"/>
  <c r="H19" i="1"/>
  <c r="I19" i="1" s="1"/>
  <c r="H18" i="1"/>
  <c r="I18" i="1" s="1"/>
  <c r="H13" i="1"/>
  <c r="I13" i="1" s="1"/>
  <c r="H22" i="1"/>
  <c r="I22" i="1" s="1"/>
  <c r="H6" i="1"/>
  <c r="I6" i="1" s="1"/>
  <c r="H15" i="1"/>
  <c r="I15" i="1" s="1"/>
  <c r="H14" i="1"/>
  <c r="I14" i="1" s="1"/>
  <c r="H7" i="1"/>
  <c r="I7" i="1" s="1"/>
  <c r="H23" i="1"/>
  <c r="I23" i="1" s="1"/>
  <c r="H8" i="1"/>
  <c r="I8" i="1" s="1"/>
  <c r="H9" i="1"/>
  <c r="I9" i="1" s="1"/>
  <c r="K18" i="1"/>
  <c r="K22" i="1"/>
  <c r="K17" i="1"/>
  <c r="K23" i="1"/>
  <c r="K15" i="1"/>
  <c r="K10" i="1"/>
  <c r="K13" i="1"/>
  <c r="K21" i="1"/>
  <c r="K12" i="1"/>
  <c r="K19" i="1"/>
  <c r="K14" i="1"/>
  <c r="W17" i="1"/>
  <c r="W22" i="1"/>
  <c r="W21" i="1"/>
  <c r="W7" i="1"/>
  <c r="D18" i="1"/>
  <c r="D23" i="1"/>
  <c r="D11" i="1"/>
  <c r="K11" i="1"/>
  <c r="W9" i="1"/>
  <c r="D12" i="1"/>
  <c r="D9" i="1"/>
  <c r="D15" i="1"/>
  <c r="K9" i="1"/>
  <c r="D17" i="1"/>
  <c r="D10" i="1"/>
  <c r="D19" i="1"/>
  <c r="K7" i="1"/>
  <c r="W10" i="1"/>
  <c r="W19" i="1"/>
  <c r="W23" i="1"/>
  <c r="W12" i="1"/>
  <c r="D14" i="1"/>
  <c r="D8" i="1"/>
  <c r="D21" i="1"/>
  <c r="D6" i="1"/>
  <c r="K6" i="1"/>
  <c r="K8" i="1"/>
  <c r="W13" i="1"/>
  <c r="W15" i="1"/>
  <c r="W8" i="1"/>
  <c r="W11" i="1"/>
  <c r="W14" i="1"/>
  <c r="D13" i="1"/>
  <c r="W18" i="1"/>
  <c r="W6" i="1"/>
  <c r="D22" i="1"/>
  <c r="D7" i="1"/>
  <c r="L21" i="1" l="1"/>
  <c r="Y21" i="1" s="1"/>
  <c r="AB6" i="1"/>
  <c r="AB18" i="1"/>
  <c r="AB14" i="1"/>
  <c r="AB11" i="1"/>
  <c r="AB8" i="1"/>
  <c r="AB15" i="1"/>
  <c r="AB13" i="1"/>
  <c r="AB12" i="1"/>
  <c r="AB23" i="1"/>
  <c r="AB19" i="1"/>
  <c r="AB10" i="1"/>
  <c r="AB9" i="1"/>
  <c r="AB7" i="1"/>
  <c r="AB21" i="1"/>
  <c r="AB22" i="1"/>
  <c r="AB17" i="1"/>
  <c r="L22" i="1"/>
  <c r="Z17" i="1"/>
  <c r="Y17" i="1"/>
  <c r="L14" i="1"/>
  <c r="L18" i="1"/>
  <c r="R21" i="1"/>
  <c r="X21" i="1" s="1"/>
  <c r="Z21" i="1"/>
  <c r="L8" i="1"/>
  <c r="L15" i="1"/>
  <c r="L13" i="1"/>
  <c r="L19" i="1"/>
  <c r="L7" i="1"/>
  <c r="L9" i="1"/>
  <c r="L23" i="1"/>
  <c r="L6" i="1"/>
  <c r="L12" i="1"/>
  <c r="L11" i="1"/>
  <c r="L10" i="1"/>
  <c r="R6" i="1" l="1"/>
  <c r="X6" i="1" s="1"/>
  <c r="Z6" i="1"/>
  <c r="Y6" i="1"/>
  <c r="Z10" i="1"/>
  <c r="R10" i="1"/>
  <c r="X10" i="1" s="1"/>
  <c r="Y10" i="1"/>
  <c r="Z13" i="1"/>
  <c r="R13" i="1"/>
  <c r="X13" i="1" s="1"/>
  <c r="Y13" i="1"/>
  <c r="Y19" i="1"/>
  <c r="Z19" i="1"/>
  <c r="R14" i="1"/>
  <c r="X14" i="1" s="1"/>
  <c r="Y14" i="1"/>
  <c r="Z14" i="1"/>
  <c r="Z23" i="1"/>
  <c r="Y23" i="1"/>
  <c r="R23" i="1"/>
  <c r="X23" i="1" s="1"/>
  <c r="Y11" i="1"/>
  <c r="R11" i="1"/>
  <c r="X11" i="1" s="1"/>
  <c r="Z11" i="1"/>
  <c r="R9" i="1"/>
  <c r="X9" i="1" s="1"/>
  <c r="Z9" i="1"/>
  <c r="Y9" i="1"/>
  <c r="Y15" i="1"/>
  <c r="R15" i="1"/>
  <c r="X15" i="1" s="1"/>
  <c r="Z15" i="1"/>
  <c r="Z12" i="1"/>
  <c r="Y12" i="1"/>
  <c r="R12" i="1"/>
  <c r="X12" i="1" s="1"/>
  <c r="Y7" i="1"/>
  <c r="R7" i="1"/>
  <c r="X7" i="1" s="1"/>
  <c r="Z7" i="1"/>
  <c r="Z8" i="1"/>
  <c r="Y8" i="1"/>
  <c r="R8" i="1"/>
  <c r="X8" i="1" s="1"/>
  <c r="Z18" i="1"/>
  <c r="Y18" i="1"/>
  <c r="Y22" i="1"/>
  <c r="R22" i="1"/>
  <c r="X22" i="1" s="1"/>
  <c r="Z22" i="1"/>
</calcChain>
</file>

<file path=xl/sharedStrings.xml><?xml version="1.0" encoding="utf-8"?>
<sst xmlns="http://schemas.openxmlformats.org/spreadsheetml/2006/main" count="50" uniqueCount="50">
  <si>
    <t>OSSRu</t>
  </si>
  <si>
    <t>ICEAIR</t>
  </si>
  <si>
    <t>MARL</t>
  </si>
  <si>
    <t>EIM</t>
  </si>
  <si>
    <t>VIS</t>
  </si>
  <si>
    <t>SJOVA</t>
  </si>
  <si>
    <t>TM</t>
  </si>
  <si>
    <t>HAGA</t>
  </si>
  <si>
    <t>REGINN</t>
  </si>
  <si>
    <t>REITIR</t>
  </si>
  <si>
    <t>EIK</t>
  </si>
  <si>
    <t>N1</t>
  </si>
  <si>
    <t>VOICE</t>
  </si>
  <si>
    <t>GRND</t>
  </si>
  <si>
    <t>NYHR</t>
  </si>
  <si>
    <t>Outstanding Shares</t>
  </si>
  <si>
    <t>Cash</t>
  </si>
  <si>
    <t>Enterprise Value</t>
  </si>
  <si>
    <t>NIBL</t>
  </si>
  <si>
    <t>EBITDA TTM</t>
  </si>
  <si>
    <t>EV/EBITDA</t>
  </si>
  <si>
    <t>Equity</t>
  </si>
  <si>
    <t>P/B</t>
  </si>
  <si>
    <t>P/E</t>
  </si>
  <si>
    <t>Earnings TTM</t>
  </si>
  <si>
    <t>Total Assets</t>
  </si>
  <si>
    <t>Equity Ratio</t>
  </si>
  <si>
    <t>ROE</t>
  </si>
  <si>
    <t>Equity 1 year ago</t>
  </si>
  <si>
    <t>LT Debt</t>
  </si>
  <si>
    <t>ST Debt</t>
  </si>
  <si>
    <t xml:space="preserve">           KODIAK Excel</t>
  </si>
  <si>
    <t>Symbol</t>
  </si>
  <si>
    <t>Divide by</t>
  </si>
  <si>
    <t>SIMINN</t>
  </si>
  <si>
    <t>Date</t>
  </si>
  <si>
    <t>Price</t>
  </si>
  <si>
    <t>12M Ch.</t>
  </si>
  <si>
    <t>Market Cap. ISK</t>
  </si>
  <si>
    <t>Curr.</t>
  </si>
  <si>
    <t>Rate</t>
  </si>
  <si>
    <t>Market Cap. FX</t>
  </si>
  <si>
    <t>Latest financials</t>
  </si>
  <si>
    <t>Issued shares</t>
  </si>
  <si>
    <t>Treasury Shares</t>
  </si>
  <si>
    <t>Real Estate</t>
  </si>
  <si>
    <t>Insurance</t>
  </si>
  <si>
    <t>Different Formula</t>
  </si>
  <si>
    <t>Day ch.</t>
  </si>
  <si>
    <t>Shares Traded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</si>
</sst>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/>
    <xf numFmtId="9" fontId="2" fillId="0" borderId="0" xfId="1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/>
    <xf numFmtId="3" fontId="2" fillId="0" borderId="0" xfId="0" applyNumberFormat="1" applyFont="1" applyFill="1" applyAlignment="1">
      <alignment horizontal="right"/>
    </xf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9" fontId="2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/>
    <xf numFmtId="4" fontId="2" fillId="2" borderId="0" xfId="0" applyNumberFormat="1" applyFont="1" applyFill="1" applyAlignment="1">
      <alignment horizontal="right"/>
    </xf>
    <xf numFmtId="9" fontId="2" fillId="2" borderId="0" xfId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4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164" fontId="2" fillId="4" borderId="0" xfId="0" applyNumberFormat="1" applyFont="1" applyFill="1"/>
    <xf numFmtId="0" fontId="2" fillId="4" borderId="0" xfId="0" applyFont="1" applyFill="1"/>
    <xf numFmtId="164" fontId="2" fillId="4" borderId="0" xfId="0" applyNumberFormat="1" applyFont="1" applyFill="1" applyAlignment="1">
      <alignment horizontal="right"/>
    </xf>
    <xf numFmtId="9" fontId="2" fillId="4" borderId="0" xfId="1" applyFont="1" applyFill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2" fillId="5" borderId="0" xfId="0" applyFont="1" applyFill="1"/>
    <xf numFmtId="164" fontId="2" fillId="5" borderId="0" xfId="0" applyNumberFormat="1" applyFont="1" applyFill="1" applyAlignment="1">
      <alignment horizontal="right"/>
    </xf>
    <xf numFmtId="3" fontId="2" fillId="5" borderId="0" xfId="0" applyNumberFormat="1" applyFont="1" applyFill="1" applyAlignment="1">
      <alignment horizontal="right"/>
    </xf>
    <xf numFmtId="9" fontId="2" fillId="5" borderId="0" xfId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164" fontId="2" fillId="5" borderId="0" xfId="0" applyNumberFormat="1" applyFont="1" applyFill="1"/>
    <xf numFmtId="14" fontId="2" fillId="5" borderId="0" xfId="0" applyNumberFormat="1" applyFont="1" applyFill="1" applyAlignment="1">
      <alignment horizontal="right"/>
    </xf>
    <xf numFmtId="165" fontId="2" fillId="0" borderId="0" xfId="1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4" fontId="2" fillId="0" borderId="0" xfId="1" applyNumberFormat="1" applyFont="1" applyAlignment="1">
      <alignment horizontal="right"/>
    </xf>
    <xf numFmtId="165" fontId="2" fillId="4" borderId="0" xfId="1" applyNumberFormat="1" applyFont="1" applyFill="1" applyAlignment="1">
      <alignment horizontal="right"/>
    </xf>
    <xf numFmtId="4" fontId="2" fillId="4" borderId="0" xfId="1" applyNumberFormat="1" applyFont="1" applyFill="1" applyAlignment="1">
      <alignment horizontal="right"/>
    </xf>
    <xf numFmtId="165" fontId="2" fillId="5" borderId="0" xfId="1" applyNumberFormat="1" applyFont="1" applyFill="1" applyAlignment="1">
      <alignment horizontal="right"/>
    </xf>
    <xf numFmtId="4" fontId="2" fillId="5" borderId="0" xfId="1" applyNumberFormat="1" applyFont="1" applyFill="1" applyAlignment="1">
      <alignment horizontal="right"/>
    </xf>
    <xf numFmtId="0" fontId="3" fillId="4" borderId="0" xfId="0" applyFont="1" applyFill="1" applyAlignment="1"/>
    <xf numFmtId="0" fontId="3" fillId="5" borderId="0" xfId="0" applyFont="1" applyFill="1" applyAlignment="1"/>
    <xf numFmtId="0" fontId="3" fillId="3" borderId="0" xfId="0" applyFont="1" applyFill="1" applyAlignment="1"/>
    <xf numFmtId="1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FF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704779</xdr:colOff>
      <xdr:row>1</xdr:row>
      <xdr:rowOff>18980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561904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GridLines="0" tabSelected="1" workbookViewId="0">
      <selection activeCell="B3" sqref="B3"/>
    </sheetView>
  </sheetViews>
  <sheetFormatPr defaultRowHeight="12" outlineLevelCol="1" x14ac:dyDescent="0.2"/>
  <cols>
    <col min="1" max="1" width="10.7109375" style="1" customWidth="1"/>
    <col min="2" max="2" width="6.140625" style="1" customWidth="1"/>
    <col min="3" max="3" width="8" style="1" customWidth="1"/>
    <col min="4" max="4" width="8.5703125" style="1" customWidth="1"/>
    <col min="5" max="5" width="9.5703125" style="1" customWidth="1"/>
    <col min="6" max="6" width="9" style="1" hidden="1" customWidth="1" outlineLevel="1"/>
    <col min="7" max="7" width="7.140625" style="1" hidden="1" customWidth="1" outlineLevel="1"/>
    <col min="8" max="8" width="7.28515625" style="1" hidden="1" customWidth="1" outlineLevel="1"/>
    <col min="9" max="9" width="10.7109375" style="1" customWidth="1" collapsed="1"/>
    <col min="10" max="10" width="7.42578125" style="1" customWidth="1"/>
    <col min="11" max="11" width="8.42578125" style="1" hidden="1" customWidth="1" outlineLevel="1"/>
    <col min="12" max="12" width="9.28515625" style="1" customWidth="1" collapsed="1"/>
    <col min="13" max="13" width="7.85546875" style="1" hidden="1" customWidth="1" outlineLevel="1"/>
    <col min="14" max="14" width="8.28515625" style="1" hidden="1" customWidth="1" outlineLevel="1"/>
    <col min="15" max="15" width="9.140625" style="1" hidden="1" customWidth="1" outlineLevel="1"/>
    <col min="16" max="16" width="5.7109375" style="1" hidden="1" customWidth="1" outlineLevel="1"/>
    <col min="17" max="17" width="5.5703125" style="1" hidden="1" customWidth="1" outlineLevel="1"/>
    <col min="18" max="18" width="8.7109375" style="1" customWidth="1" collapsed="1"/>
    <col min="19" max="23" width="9.28515625" style="1" customWidth="1"/>
    <col min="24" max="28" width="8.28515625" style="1" customWidth="1"/>
    <col min="29" max="30" width="6.7109375" style="1" customWidth="1"/>
    <col min="31" max="31" width="4" style="1" bestFit="1" customWidth="1"/>
    <col min="32" max="32" width="6.42578125" style="1" customWidth="1"/>
    <col min="33" max="16384" width="9.140625" style="1"/>
  </cols>
  <sheetData>
    <row r="1" spans="1:28" ht="51.75" customHeight="1" x14ac:dyDescent="0.2">
      <c r="A1" s="7" t="s">
        <v>31</v>
      </c>
    </row>
    <row r="2" spans="1:28" x14ac:dyDescent="0.2">
      <c r="T2" s="8" t="s">
        <v>35</v>
      </c>
      <c r="U2" s="47">
        <f>_xll.GeniusToday()</f>
        <v>42307</v>
      </c>
      <c r="V2" s="47"/>
    </row>
    <row r="3" spans="1:28" x14ac:dyDescent="0.2">
      <c r="T3" s="8" t="s">
        <v>33</v>
      </c>
      <c r="U3" s="48">
        <v>1000000</v>
      </c>
      <c r="V3" s="48"/>
    </row>
    <row r="4" spans="1:28" x14ac:dyDescent="0.2">
      <c r="T4" s="8"/>
    </row>
    <row r="5" spans="1:28" ht="33.75" customHeight="1" x14ac:dyDescent="0.2">
      <c r="A5" s="27" t="s">
        <v>32</v>
      </c>
      <c r="B5" s="28" t="s">
        <v>36</v>
      </c>
      <c r="C5" s="28" t="s">
        <v>48</v>
      </c>
      <c r="D5" s="28" t="s">
        <v>37</v>
      </c>
      <c r="E5" s="28" t="s">
        <v>49</v>
      </c>
      <c r="F5" s="28" t="s">
        <v>43</v>
      </c>
      <c r="G5" s="28" t="s">
        <v>44</v>
      </c>
      <c r="H5" s="28" t="s">
        <v>15</v>
      </c>
      <c r="I5" s="28" t="s">
        <v>38</v>
      </c>
      <c r="J5" s="28" t="s">
        <v>39</v>
      </c>
      <c r="K5" s="28" t="s">
        <v>40</v>
      </c>
      <c r="L5" s="28" t="s">
        <v>41</v>
      </c>
      <c r="M5" s="28" t="s">
        <v>42</v>
      </c>
      <c r="N5" s="28" t="s">
        <v>29</v>
      </c>
      <c r="O5" s="28" t="s">
        <v>30</v>
      </c>
      <c r="P5" s="28" t="s">
        <v>16</v>
      </c>
      <c r="Q5" s="28" t="s">
        <v>18</v>
      </c>
      <c r="R5" s="28" t="s">
        <v>17</v>
      </c>
      <c r="S5" s="28" t="s">
        <v>19</v>
      </c>
      <c r="T5" s="28" t="s">
        <v>21</v>
      </c>
      <c r="U5" s="28" t="s">
        <v>24</v>
      </c>
      <c r="V5" s="28" t="s">
        <v>25</v>
      </c>
      <c r="W5" s="28" t="s">
        <v>28</v>
      </c>
      <c r="X5" s="29" t="s">
        <v>20</v>
      </c>
      <c r="Y5" s="29" t="s">
        <v>22</v>
      </c>
      <c r="Z5" s="29" t="s">
        <v>23</v>
      </c>
      <c r="AA5" s="29" t="s">
        <v>26</v>
      </c>
      <c r="AB5" s="29" t="s">
        <v>27</v>
      </c>
    </row>
    <row r="6" spans="1:28" x14ac:dyDescent="0.2">
      <c r="A6" s="1" t="s">
        <v>0</v>
      </c>
      <c r="B6" s="3">
        <f>IFERROR(_xll.LastPrice(A6),"-")</f>
        <v>460</v>
      </c>
      <c r="C6" s="37">
        <f>_xll.LastPrice($A6)/_xll.COfficialLast($A6)-1</f>
        <v>2.2222222222222143E-2</v>
      </c>
      <c r="D6" s="6">
        <f>IFERROR(B6/(B6-_xll.NetChange12Months(A6))-1,"-")</f>
        <v>0.26373626373626369</v>
      </c>
      <c r="E6" s="39">
        <f>_xll.VolumeTradedToday($A6)/$U$3</f>
        <v>8.5749999999999993E-3</v>
      </c>
      <c r="F6" s="4">
        <f>IFERROR(_xll.TotalIssue(A6)/$U$3,"-")</f>
        <v>446.29324500000001</v>
      </c>
      <c r="G6" s="4">
        <f>IFERROR(_xll.OwnShares(A6)/$U$3,"-")</f>
        <v>0.5</v>
      </c>
      <c r="H6" s="4">
        <f>IFERROR(F6-G6,"-")</f>
        <v>445.79324500000001</v>
      </c>
      <c r="I6" s="9">
        <f t="shared" ref="I6:I15" si="0">IFERROR(H6*B6,"-")</f>
        <v>205064.8927</v>
      </c>
      <c r="J6" s="2" t="str">
        <f>_xll.FinancialsCurrency(A6)</f>
        <v>USD</v>
      </c>
      <c r="K6" s="5">
        <f>IF(J6="ISK",1,_xll.CrossRate(CONCATENATE("ISK",J6)))</f>
        <v>128.72800000000001</v>
      </c>
      <c r="L6" s="4">
        <f t="shared" ref="L6:L15" si="1">IFERROR(I6/K6,"-")</f>
        <v>1593.0092341992417</v>
      </c>
      <c r="M6" s="19">
        <f>_xll.ReleaseDateD($A6,$U$2)</f>
        <v>42277</v>
      </c>
      <c r="N6" s="4">
        <f>_xll.KeyLookupD($A6,$U$2,"421")/$U$3</f>
        <v>19.062000000000001</v>
      </c>
      <c r="O6" s="4">
        <f>_xll.KeyLookupD($A6,$U$2,"422")/$U$3</f>
        <v>7.8E-2</v>
      </c>
      <c r="P6" s="4">
        <f>_xll.KeyLookupD($A6,$U$2,"Cash")/$U$3</f>
        <v>21.224</v>
      </c>
      <c r="Q6" s="4">
        <f t="shared" ref="Q6" si="2">IFERROR(N6+O6-P6,"-")</f>
        <v>-2.0839999999999996</v>
      </c>
      <c r="R6" s="4">
        <f t="shared" ref="R6" si="3">IFERROR(L6-Q6,"-")</f>
        <v>1595.0932341992418</v>
      </c>
      <c r="S6" s="4">
        <f>IFERROR(_xll.EBITDATrailingTwelveMonths(A6)/$U$3,"-")</f>
        <v>98.778000000000006</v>
      </c>
      <c r="T6" s="4">
        <f>_xll.KeyLookupD($A6,$U$2,"Equity")/$U$3</f>
        <v>461.41199999999998</v>
      </c>
      <c r="U6" s="4">
        <f>IFERROR(_xll.EarningsTrailingTwelveMonhts(A6)/$U$3,"-")</f>
        <v>53.476999999999997</v>
      </c>
      <c r="V6" s="4">
        <f>IFERROR(_xll.KeyLookupD($A6,$U$2,"TotalAssets")/$U$3,"-")</f>
        <v>661.09299999999996</v>
      </c>
      <c r="W6" s="4">
        <f>_xll.KeyLookupD($A6,$M6-360,"Equity")/$U$3</f>
        <v>467.80200000000002</v>
      </c>
      <c r="X6" s="15">
        <f t="shared" ref="X6" si="4">IFERROR(R6/S6,"-")</f>
        <v>16.148264129656823</v>
      </c>
      <c r="Y6" s="15">
        <f t="shared" ref="Y6" si="5">IFERROR(L6/T6,"-")</f>
        <v>3.4524659831110629</v>
      </c>
      <c r="Z6" s="15">
        <f t="shared" ref="Z6" si="6">IFERROR(L6/U6,"-")</f>
        <v>29.788679884796114</v>
      </c>
      <c r="AA6" s="16">
        <f t="shared" ref="AA6" si="7">IFERROR(T6/V6,"-")</f>
        <v>0.69795323804668941</v>
      </c>
      <c r="AB6" s="16">
        <f t="shared" ref="AB6:AB15" si="8">IFERROR(U6/W6,"-")</f>
        <v>0.1143154582494303</v>
      </c>
    </row>
    <row r="7" spans="1:28" x14ac:dyDescent="0.2">
      <c r="A7" s="1" t="s">
        <v>1</v>
      </c>
      <c r="B7" s="3">
        <f>IFERROR(_xll.LastPrice(A7),"-")</f>
        <v>34.375</v>
      </c>
      <c r="C7" s="37">
        <f>_xll.LastPrice($A7)/_xll.COfficialLast($A7)-1</f>
        <v>3.6496350364962904E-3</v>
      </c>
      <c r="D7" s="6">
        <f>IFERROR(B7/(B7-_xll.NetChange12Months(A7))-1,"-")</f>
        <v>0.8606224627875505</v>
      </c>
      <c r="E7" s="39">
        <f>_xll.VolumeTradedToday($A7)/$U$3</f>
        <v>2.5998429999999999</v>
      </c>
      <c r="F7" s="4">
        <f>IFERROR(_xll.TotalIssue(A7)/$U$3,"-")</f>
        <v>5000</v>
      </c>
      <c r="G7" s="4">
        <f>IFERROR(_xll.OwnShares(A7)/$U$3,"-")</f>
        <v>25.46</v>
      </c>
      <c r="H7" s="4">
        <f t="shared" ref="H7:H9" si="9">IFERROR(F7-G7,"-")</f>
        <v>4974.54</v>
      </c>
      <c r="I7" s="9">
        <f t="shared" si="0"/>
        <v>170999.8125</v>
      </c>
      <c r="J7" s="2" t="str">
        <f>_xll.FinancialsCurrency(A7)</f>
        <v>USD</v>
      </c>
      <c r="K7" s="5">
        <f>IF(J7="ISK",1,_xll.CrossRate(CONCATENATE("ISK",J7)))</f>
        <v>128.72800000000001</v>
      </c>
      <c r="L7" s="4">
        <f t="shared" si="1"/>
        <v>1328.3808689640171</v>
      </c>
      <c r="M7" s="19">
        <f>_xll.ReleaseDateD($A7,$U$2)</f>
        <v>42277</v>
      </c>
      <c r="N7" s="4">
        <f>_xll.KeyLookupD($A7,$U$2,"421")/$U$3</f>
        <v>220.09299999999999</v>
      </c>
      <c r="O7" s="4">
        <f>_xll.KeyLookupD($A7,$U$2,"422")/$U$3</f>
        <v>12.507999999999999</v>
      </c>
      <c r="P7" s="4">
        <f>_xll.KeyLookupD($A7,$U$2,"Cash")/$U$3</f>
        <v>256.553</v>
      </c>
      <c r="Q7" s="4">
        <f t="shared" ref="Q7:Q13" si="10">IFERROR(N7+O7-P7,"-")</f>
        <v>-23.951999999999998</v>
      </c>
      <c r="R7" s="4">
        <f t="shared" ref="R7:R13" si="11">IFERROR(L7-Q7,"-")</f>
        <v>1352.3328689640171</v>
      </c>
      <c r="S7" s="4">
        <f>IFERROR(_xll.EBITDATrailingTwelveMonths(A7)/$U$3,"-")</f>
        <v>197.39099999999999</v>
      </c>
      <c r="T7" s="4">
        <f>_xll.KeyLookupD($A7,$U$2,"Equity")/$U$3</f>
        <v>471.63400000000001</v>
      </c>
      <c r="U7" s="4">
        <f>IFERROR(_xll.EarningsTrailingTwelveMonhts(A7)/$U$3,"-")</f>
        <v>95.981999999999999</v>
      </c>
      <c r="V7" s="4">
        <f>IFERROR(_xll.KeyLookupD($A7,$U$2,"TotalAssets")/$U$3,"-")</f>
        <v>1015.46</v>
      </c>
      <c r="W7" s="4">
        <f>_xll.KeyLookupD($A7,$M7-360,"Equity")/$U$3</f>
        <v>403.60700000000003</v>
      </c>
      <c r="X7" s="15">
        <f t="shared" ref="X7:X13" si="12">IFERROR(R7/S7,"-")</f>
        <v>6.8510361108866009</v>
      </c>
      <c r="Y7" s="15">
        <f t="shared" ref="Y7:Y13" si="13">IFERROR(L7/T7,"-")</f>
        <v>2.8165502677161038</v>
      </c>
      <c r="Z7" s="15">
        <f t="shared" ref="Z7:Z13" si="14">IFERROR(L7/U7,"-")</f>
        <v>13.839895698818706</v>
      </c>
      <c r="AA7" s="16">
        <f t="shared" ref="AA7:AA13" si="15">IFERROR(T7/V7,"-")</f>
        <v>0.46445354814566797</v>
      </c>
      <c r="AB7" s="16">
        <f t="shared" si="8"/>
        <v>0.23781054342466804</v>
      </c>
    </row>
    <row r="8" spans="1:28" x14ac:dyDescent="0.2">
      <c r="A8" s="1" t="s">
        <v>2</v>
      </c>
      <c r="B8" s="3">
        <f>IFERROR(_xll.LastPrice(A8),"-")</f>
        <v>230</v>
      </c>
      <c r="C8" s="37">
        <f>_xll.LastPrice($A8)/_xll.COfficialLast($A8)-1</f>
        <v>4.366812227074135E-3</v>
      </c>
      <c r="D8" s="6">
        <f>IFERROR(B8/(B8-_xll.NetChange12Months(A8))-1,"-")</f>
        <v>0.84000000000000008</v>
      </c>
      <c r="E8" s="39">
        <f>_xll.VolumeTradedToday($A8)/$U$3</f>
        <v>0.103615</v>
      </c>
      <c r="F8" s="4">
        <f>IFERROR(_xll.TotalIssue(A8)/$U$3,"-")</f>
        <v>735.56899699999997</v>
      </c>
      <c r="G8" s="4">
        <f>IFERROR(_xll.OwnShares(A8)/$U$3,"-")</f>
        <v>31.71855</v>
      </c>
      <c r="H8" s="4">
        <f t="shared" si="9"/>
        <v>703.85044699999992</v>
      </c>
      <c r="I8" s="9">
        <f t="shared" si="0"/>
        <v>161885.60280999998</v>
      </c>
      <c r="J8" s="2" t="str">
        <f>_xll.FinancialsCurrency(A8)</f>
        <v>EUR</v>
      </c>
      <c r="K8" s="5">
        <f>IF(J8="ISK",1,_xll.CrossRate(CONCATENATE("ISK",J8)))</f>
        <v>141.67375000000001</v>
      </c>
      <c r="L8" s="4">
        <f t="shared" si="1"/>
        <v>1142.6647689497877</v>
      </c>
      <c r="M8" s="19">
        <f>_xll.ReleaseDateD($A8,$U$2)</f>
        <v>42277</v>
      </c>
      <c r="N8" s="4">
        <f>_xll.KeyLookupD($A8,$U$2,"421")/$U$3</f>
        <v>120.61499999999999</v>
      </c>
      <c r="O8" s="4">
        <f>_xll.KeyLookupD($A8,$U$2,"422")/$U$3</f>
        <v>18.462</v>
      </c>
      <c r="P8" s="4">
        <f>_xll.KeyLookupD($A8,$U$2,"Cash")/$U$3</f>
        <v>92.119</v>
      </c>
      <c r="Q8" s="4">
        <f t="shared" si="10"/>
        <v>46.957999999999998</v>
      </c>
      <c r="R8" s="4">
        <f t="shared" si="11"/>
        <v>1095.7067689497876</v>
      </c>
      <c r="S8" s="4">
        <f>IFERROR(_xll.EBITDATrailingTwelveMonths(A8)/$U$3,"-")</f>
        <v>113.155</v>
      </c>
      <c r="T8" s="4">
        <f>_xll.KeyLookupD($A8,$U$2,"Equity")/$U$3</f>
        <v>434.339</v>
      </c>
      <c r="U8" s="4">
        <f>IFERROR(_xll.EarningsTrailingTwelveMonhts(A8)/$U$3,"-")</f>
        <v>49.829000000000001</v>
      </c>
      <c r="V8" s="4">
        <f>IFERROR(_xll.KeyLookupD($A8,$U$2,"TotalAssets")/$U$3,"-")</f>
        <v>917.64599999999996</v>
      </c>
      <c r="W8" s="4">
        <f>_xll.KeyLookupD($A8,$M8-360,"Equity")/$U$3</f>
        <v>428.387</v>
      </c>
      <c r="X8" s="15">
        <f t="shared" si="12"/>
        <v>9.6832377619176135</v>
      </c>
      <c r="Y8" s="15">
        <f t="shared" si="13"/>
        <v>2.6308131872794931</v>
      </c>
      <c r="Z8" s="15">
        <f t="shared" si="14"/>
        <v>22.931721867783573</v>
      </c>
      <c r="AA8" s="16">
        <f t="shared" si="15"/>
        <v>0.47331868716258779</v>
      </c>
      <c r="AB8" s="16">
        <f t="shared" si="8"/>
        <v>0.11631772205972638</v>
      </c>
    </row>
    <row r="9" spans="1:28" x14ac:dyDescent="0.2">
      <c r="A9" s="1" t="s">
        <v>3</v>
      </c>
      <c r="B9" s="3">
        <f>IFERROR(_xll.LastPrice(A9),"-")</f>
        <v>262</v>
      </c>
      <c r="C9" s="37">
        <f>_xll.LastPrice($A9)/_xll.COfficialLast($A9)-1</f>
        <v>0</v>
      </c>
      <c r="D9" s="6">
        <f>IFERROR(B9/(B9-_xll.NetChange12Months(A9))-1,"-")</f>
        <v>0.16964285714285721</v>
      </c>
      <c r="E9" s="39">
        <f>_xll.VolumeTradedToday($A9)/$U$3</f>
        <v>0</v>
      </c>
      <c r="F9" s="4">
        <f>IFERROR(_xll.TotalIssue(A9)/$U$3,"-")</f>
        <v>200</v>
      </c>
      <c r="G9" s="4">
        <f>IFERROR(_xll.OwnShares(A9)/$U$3,"-")</f>
        <v>13.36077</v>
      </c>
      <c r="H9" s="4">
        <f t="shared" si="9"/>
        <v>186.63923</v>
      </c>
      <c r="I9" s="9">
        <f t="shared" si="0"/>
        <v>48899.478259999996</v>
      </c>
      <c r="J9" s="2" t="str">
        <f>_xll.FinancialsCurrency(A9)</f>
        <v>EUR</v>
      </c>
      <c r="K9" s="5">
        <f>IF(J9="ISK",1,_xll.CrossRate(CONCATENATE("ISK",J9)))</f>
        <v>141.67375000000001</v>
      </c>
      <c r="L9" s="4">
        <f t="shared" si="1"/>
        <v>345.15552994114995</v>
      </c>
      <c r="M9" s="19">
        <f>_xll.ReleaseDateD($A9,$U$2)</f>
        <v>42185</v>
      </c>
      <c r="N9" s="4">
        <f>_xll.KeyLookupD($A9,$U$2,"421")/$U$3</f>
        <v>60.871000000000002</v>
      </c>
      <c r="O9" s="4">
        <f>_xll.KeyLookupD($A9,$U$2,"422")/$U$3</f>
        <v>36.366999999999997</v>
      </c>
      <c r="P9" s="4">
        <f>_xll.KeyLookupD($A9,$U$2,"Cash")/$U$3</f>
        <v>37.011000000000003</v>
      </c>
      <c r="Q9" s="4">
        <f t="shared" si="10"/>
        <v>60.226999999999997</v>
      </c>
      <c r="R9" s="4">
        <f t="shared" si="11"/>
        <v>284.92852994114998</v>
      </c>
      <c r="S9" s="4">
        <f>IFERROR(_xll.EBITDATrailingTwelveMonths(A9)/$U$3,"-")</f>
        <v>40.564999999999998</v>
      </c>
      <c r="T9" s="4">
        <f>_xll.KeyLookupD($A9,$U$2,"Equity")/$U$3</f>
        <v>219.4</v>
      </c>
      <c r="U9" s="4">
        <f>IFERROR(_xll.EarningsTrailingTwelveMonhts(A9)/$U$3,"-")</f>
        <v>16.846</v>
      </c>
      <c r="V9" s="4">
        <f>IFERROR(_xll.KeyLookupD($A9,$U$2,"TotalAssets")/$U$3,"-")</f>
        <v>357.66699999999997</v>
      </c>
      <c r="W9" s="4">
        <f>_xll.KeyLookupD($A9,$M9-360,"Equity")/$U$3</f>
        <v>206.58799999999999</v>
      </c>
      <c r="X9" s="15">
        <f t="shared" si="12"/>
        <v>7.0239992589954392</v>
      </c>
      <c r="Y9" s="15">
        <f t="shared" si="13"/>
        <v>1.5731792613543754</v>
      </c>
      <c r="Z9" s="15">
        <f t="shared" si="14"/>
        <v>20.488871538712452</v>
      </c>
      <c r="AA9" s="16">
        <f t="shared" si="15"/>
        <v>0.61341974518197095</v>
      </c>
      <c r="AB9" s="16">
        <f t="shared" si="8"/>
        <v>8.1543942532964167E-2</v>
      </c>
    </row>
    <row r="10" spans="1:28" x14ac:dyDescent="0.2">
      <c r="A10" s="1" t="s">
        <v>11</v>
      </c>
      <c r="B10" s="3">
        <f>IFERROR(_xll.LastPrice(A10),"-")</f>
        <v>43.7</v>
      </c>
      <c r="C10" s="37">
        <f>_xll.LastPrice($A10)/_xll.COfficialLast($A10)-1</f>
        <v>-3.7444933920704804E-2</v>
      </c>
      <c r="D10" s="6">
        <f>IFERROR(B10/(B10-_xll.NetChange12Months(A10))-1,"-")</f>
        <v>1.5114942528735629</v>
      </c>
      <c r="E10" s="39">
        <f>_xll.VolumeTradedToday($A10)/$U$3</f>
        <v>8.3550000000000004</v>
      </c>
      <c r="F10" s="4">
        <f>IFERROR(_xll.TotalIssue(A10)/$U$3,"-")</f>
        <v>470</v>
      </c>
      <c r="G10" s="4">
        <f>IFERROR(_xll.OwnShares(A10)/$U$3,"-")</f>
        <v>0</v>
      </c>
      <c r="H10" s="4">
        <f t="shared" ref="H10" si="16">IFERROR(F10-G10,"-")</f>
        <v>470</v>
      </c>
      <c r="I10" s="9">
        <f t="shared" si="0"/>
        <v>20539</v>
      </c>
      <c r="J10" s="2" t="str">
        <f>_xll.FinancialsCurrency(A10)</f>
        <v>ISK</v>
      </c>
      <c r="K10" s="5">
        <f>IF(J10="ISK",1,_xll.CrossRate(CONCATENATE("ISK",J10)))</f>
        <v>1</v>
      </c>
      <c r="L10" s="4">
        <f t="shared" si="1"/>
        <v>20539</v>
      </c>
      <c r="M10" s="19">
        <f>_xll.ReleaseDateD($A10,$U$2)</f>
        <v>42277</v>
      </c>
      <c r="N10" s="4">
        <f>_xll.KeyLookupD($A10,$U$2,"421")/$U$3</f>
        <v>1334.3520000000001</v>
      </c>
      <c r="O10" s="4">
        <f>_xll.KeyLookupD($A10,$U$2,"422")/$U$3</f>
        <v>0</v>
      </c>
      <c r="P10" s="4">
        <f>_xll.KeyLookupD($A10,$U$2,"Cash")/$U$3</f>
        <v>3387.5</v>
      </c>
      <c r="Q10" s="4">
        <f t="shared" si="10"/>
        <v>-2053.1480000000001</v>
      </c>
      <c r="R10" s="4">
        <f t="shared" si="11"/>
        <v>22592.148000000001</v>
      </c>
      <c r="S10" s="4">
        <f>IFERROR(_xll.EBITDATrailingTwelveMonths(A10)/$U$3,"-")</f>
        <v>2885.74</v>
      </c>
      <c r="T10" s="4">
        <f>_xll.KeyLookupD($A10,$U$2,"Equity")/$U$3</f>
        <v>8929.634</v>
      </c>
      <c r="U10" s="4">
        <f>IFERROR(_xll.EarningsTrailingTwelveMonhts(A10)/$U$3,"-")</f>
        <v>1792.615</v>
      </c>
      <c r="V10" s="4">
        <f>IFERROR(_xll.KeyLookupD($A10,$U$2,"TotalAssets")/$U$3,"-")</f>
        <v>22280.066999999999</v>
      </c>
      <c r="W10" s="4">
        <f>_xll.KeyLookupD($A10,$M10-360,"Equity")/$U$3</f>
        <v>14830.808000000001</v>
      </c>
      <c r="X10" s="15">
        <f t="shared" si="12"/>
        <v>7.8288924158101567</v>
      </c>
      <c r="Y10" s="15">
        <f t="shared" si="13"/>
        <v>2.3000942703810705</v>
      </c>
      <c r="Z10" s="15">
        <f t="shared" si="14"/>
        <v>11.457563392027847</v>
      </c>
      <c r="AA10" s="16">
        <f t="shared" si="15"/>
        <v>0.40079026692334457</v>
      </c>
      <c r="AB10" s="16">
        <f t="shared" si="8"/>
        <v>0.12087102739109022</v>
      </c>
    </row>
    <row r="11" spans="1:28" x14ac:dyDescent="0.2">
      <c r="A11" s="1" t="s">
        <v>13</v>
      </c>
      <c r="B11" s="3">
        <f>IFERROR(_xll.LastPrice(A11),"-")</f>
        <v>42.75</v>
      </c>
      <c r="C11" s="37">
        <f>_xll.LastPrice($A11)/_xll.COfficialLast($A11)-1</f>
        <v>0</v>
      </c>
      <c r="D11" s="6">
        <f>IFERROR(B11/(B11-_xll.NetChange12Months(A11))-1,"-")</f>
        <v>0.42976588628762546</v>
      </c>
      <c r="E11" s="39">
        <f>_xll.VolumeTradedToday($A11)/$U$3</f>
        <v>0</v>
      </c>
      <c r="F11" s="4">
        <f>IFERROR(_xll.TotalIssue(A11)/$U$3,"-")</f>
        <v>1822.2280000000001</v>
      </c>
      <c r="G11" s="4">
        <f>IFERROR(_xll.OwnShares(A11)/$U$3,"-")</f>
        <v>8.5692769999999996</v>
      </c>
      <c r="H11" s="4">
        <f>IFERROR(F11-G11,"-")</f>
        <v>1813.658723</v>
      </c>
      <c r="I11" s="9">
        <f t="shared" si="0"/>
        <v>77533.910408249998</v>
      </c>
      <c r="J11" s="2" t="str">
        <f>_xll.FinancialsCurrency(A11)</f>
        <v>EUR</v>
      </c>
      <c r="K11" s="5">
        <f>IF(J11="ISK",1,_xll.CrossRate(CONCATENATE("ISK",J11)))</f>
        <v>141.67375000000001</v>
      </c>
      <c r="L11" s="4">
        <f t="shared" si="1"/>
        <v>547.27082757567996</v>
      </c>
      <c r="M11" s="19">
        <f>_xll.ReleaseDateD($A11,$U$2)</f>
        <v>42185</v>
      </c>
      <c r="N11" s="4">
        <f>_xll.KeyLookupD($A11,$U$2,"421")/$U$3</f>
        <v>25.300999999999998</v>
      </c>
      <c r="O11" s="4">
        <f>_xll.KeyLookupD($A11,$U$2,"422")/$U$3</f>
        <v>62.064999999999998</v>
      </c>
      <c r="P11" s="4">
        <f>_xll.KeyLookupD($A11,$U$2,"Cash")/$U$3</f>
        <v>8.5670000000000002</v>
      </c>
      <c r="Q11" s="4">
        <f t="shared" si="10"/>
        <v>78.799000000000007</v>
      </c>
      <c r="R11" s="4">
        <f t="shared" si="11"/>
        <v>468.47182757567998</v>
      </c>
      <c r="S11" s="4">
        <f>IFERROR(_xll.EBITDATrailingTwelveMonths(A11)/$U$3,"-")</f>
        <v>69.02</v>
      </c>
      <c r="T11" s="4">
        <f>_xll.KeyLookupD($A11,$U$2,"Equity")/$U$3</f>
        <v>222.25200000000001</v>
      </c>
      <c r="U11" s="4">
        <f>IFERROR(_xll.EarningsTrailingTwelveMonhts(A11)/$U$3,"-")</f>
        <v>47.774999999999999</v>
      </c>
      <c r="V11" s="4">
        <f>IFERROR(_xll.KeyLookupD($A11,$U$2,"TotalAssets")/$U$3,"-")</f>
        <v>391.23399999999998</v>
      </c>
      <c r="W11" s="4">
        <f>_xll.KeyLookupD($A11,$M11-360,"Equity")/$U$3</f>
        <v>195.64099999999999</v>
      </c>
      <c r="X11" s="15">
        <f t="shared" si="12"/>
        <v>6.7874793911283691</v>
      </c>
      <c r="Y11" s="15">
        <f t="shared" si="13"/>
        <v>2.4623887639961843</v>
      </c>
      <c r="Z11" s="15">
        <f t="shared" si="14"/>
        <v>11.45517169179864</v>
      </c>
      <c r="AA11" s="16">
        <f t="shared" si="15"/>
        <v>0.56807946139650445</v>
      </c>
      <c r="AB11" s="16">
        <f t="shared" si="8"/>
        <v>0.24419727971130797</v>
      </c>
    </row>
    <row r="12" spans="1:28" x14ac:dyDescent="0.2">
      <c r="A12" s="1" t="s">
        <v>14</v>
      </c>
      <c r="B12" s="3">
        <f>IFERROR(_xll.LastPrice(A12),"-")</f>
        <v>14.3</v>
      </c>
      <c r="C12" s="37">
        <f>_xll.LastPrice($A12)/_xll.COfficialLast($A12)-1</f>
        <v>0</v>
      </c>
      <c r="D12" s="6">
        <f>IFERROR(B12/(B12-_xll.NetChange12Months(A12))-1,"-")</f>
        <v>1.4869565217391307</v>
      </c>
      <c r="E12" s="39">
        <f>_xll.VolumeTradedToday($A12)/$U$3</f>
        <v>8.9999999999999998E-4</v>
      </c>
      <c r="F12" s="4">
        <f>IFERROR(_xll.TotalIssue(A12)/$U$3,"-")</f>
        <v>410</v>
      </c>
      <c r="G12" s="4">
        <f>IFERROR(_xll.OwnShares(A12)/$U$3,"-")</f>
        <v>0.17116899999999999</v>
      </c>
      <c r="H12" s="4">
        <f>IFERROR(F12-G12,"-")</f>
        <v>409.82883099999998</v>
      </c>
      <c r="I12" s="9">
        <f t="shared" si="0"/>
        <v>5860.5522833000005</v>
      </c>
      <c r="J12" s="2" t="str">
        <f>_xll.FinancialsCurrency(A12)</f>
        <v>ISK</v>
      </c>
      <c r="K12" s="5">
        <f>IF(J12="ISK",1,_xll.CrossRate(CONCATENATE("ISK",J12)))</f>
        <v>1</v>
      </c>
      <c r="L12" s="4">
        <f t="shared" si="1"/>
        <v>5860.5522833000005</v>
      </c>
      <c r="M12" s="19">
        <f>_xll.ReleaseDateD($A12,$U$2)</f>
        <v>42277</v>
      </c>
      <c r="N12" s="4">
        <f>_xll.KeyLookupD($A12,$U$2,"421")/$U$3</f>
        <v>1590.934</v>
      </c>
      <c r="O12" s="4">
        <f>_xll.KeyLookupD($A12,$U$2,"422")/$U$3</f>
        <v>455.88200000000001</v>
      </c>
      <c r="P12" s="4">
        <f>_xll.KeyLookupD($A12,$U$2,"Cash")/$U$3</f>
        <v>102.779</v>
      </c>
      <c r="Q12" s="4">
        <f t="shared" si="10"/>
        <v>1944.037</v>
      </c>
      <c r="R12" s="4">
        <f t="shared" si="11"/>
        <v>3916.5152833000002</v>
      </c>
      <c r="S12" s="4">
        <f>IFERROR(_xll.EBITDATrailingTwelveMonths(A12)/$U$3,"-")</f>
        <v>933.64200000000005</v>
      </c>
      <c r="T12" s="4">
        <f>_xll.KeyLookupD($A12,$U$2,"Equity")/$U$3</f>
        <v>1155.9190000000001</v>
      </c>
      <c r="U12" s="4">
        <f>IFERROR(_xll.EarningsTrailingTwelveMonhts(A12)/$U$3,"-")</f>
        <v>324.47000000000003</v>
      </c>
      <c r="V12" s="4">
        <f>IFERROR(_xll.KeyLookupD($A12,$U$2,"TotalAssets")/$U$3,"-")</f>
        <v>5740.3379999999997</v>
      </c>
      <c r="W12" s="4">
        <f>_xll.KeyLookupD($A12,$M12-360,"Equity")/$U$3</f>
        <v>841.03300000000002</v>
      </c>
      <c r="X12" s="15">
        <f t="shared" si="12"/>
        <v>4.1948790685294792</v>
      </c>
      <c r="Y12" s="15">
        <f t="shared" si="13"/>
        <v>5.0700371594376419</v>
      </c>
      <c r="Z12" s="15">
        <f t="shared" si="14"/>
        <v>18.061923392917681</v>
      </c>
      <c r="AA12" s="16">
        <f t="shared" si="15"/>
        <v>0.20136775918073119</v>
      </c>
      <c r="AB12" s="16">
        <f t="shared" si="8"/>
        <v>0.38579936815796767</v>
      </c>
    </row>
    <row r="13" spans="1:28" x14ac:dyDescent="0.2">
      <c r="A13" s="1" t="s">
        <v>7</v>
      </c>
      <c r="B13" s="3">
        <f>IFERROR(_xll.LastPrice(A13),"-")</f>
        <v>44.9</v>
      </c>
      <c r="C13" s="37">
        <f>_xll.LastPrice($A13)/_xll.COfficialLast($A13)-1</f>
        <v>-2.2222222222222365E-3</v>
      </c>
      <c r="D13" s="6">
        <f>IFERROR(B13/(B13-_xll.NetChange12Months(A13))-1,"-")</f>
        <v>5.7714958775029412E-2</v>
      </c>
      <c r="E13" s="39">
        <f>_xll.VolumeTradedToday($A13)/$U$3</f>
        <v>0.89930200000000005</v>
      </c>
      <c r="F13" s="4">
        <f>IFERROR(_xll.TotalIssue(A13)/$U$3,"-")</f>
        <v>1171.5021899999999</v>
      </c>
      <c r="G13" s="4">
        <f>IFERROR(_xll.OwnShares(A13)/$U$3,"-")</f>
        <v>0</v>
      </c>
      <c r="H13" s="4">
        <f>IFERROR(F13-G13,"-")</f>
        <v>1171.5021899999999</v>
      </c>
      <c r="I13" s="9">
        <f t="shared" si="0"/>
        <v>52600.448330999992</v>
      </c>
      <c r="J13" s="2" t="str">
        <f>_xll.FinancialsCurrency(A13)</f>
        <v>ISK</v>
      </c>
      <c r="K13" s="5">
        <f>IF(J13="ISK",1,_xll.CrossRate(CONCATENATE("ISK",J13)))</f>
        <v>1</v>
      </c>
      <c r="L13" s="4">
        <f t="shared" si="1"/>
        <v>52600.448330999992</v>
      </c>
      <c r="M13" s="19">
        <f>_xll.ReleaseDateD($A13,$U$2)</f>
        <v>42247</v>
      </c>
      <c r="N13" s="4">
        <f>_xll.KeyLookupD($A13,$U$2,"421")/$U$3</f>
        <v>7187</v>
      </c>
      <c r="O13" s="4">
        <f>_xll.KeyLookupD($A13,$U$2,"422")/$U$3</f>
        <v>751</v>
      </c>
      <c r="P13" s="4">
        <f>_xll.KeyLookupD($A13,$U$2,"Cash")/$U$3</f>
        <v>2478</v>
      </c>
      <c r="Q13" s="4">
        <f t="shared" si="10"/>
        <v>5460</v>
      </c>
      <c r="R13" s="4">
        <f t="shared" si="11"/>
        <v>47140.448330999992</v>
      </c>
      <c r="S13" s="4">
        <f>IFERROR(_xll.EBITDATrailingTwelveMonths(A13)/$U$3,"-")</f>
        <v>5441</v>
      </c>
      <c r="T13" s="4">
        <f>_xll.KeyLookupD($A13,$U$2,"Equity")/$U$3</f>
        <v>14758</v>
      </c>
      <c r="U13" s="4">
        <f>IFERROR(_xll.EarningsTrailingTwelveMonhts(A13)/$U$3,"-")</f>
        <v>3730</v>
      </c>
      <c r="V13" s="4">
        <f>IFERROR(_xll.KeyLookupD($A13,$U$2,"TotalAssets")/$U$3,"-")</f>
        <v>27974</v>
      </c>
      <c r="W13" s="4">
        <f>_xll.KeyLookupD($A13,$M13-360,"Equity")/$U$3</f>
        <v>13020</v>
      </c>
      <c r="X13" s="15">
        <f t="shared" si="12"/>
        <v>8.6639309558904607</v>
      </c>
      <c r="Y13" s="15">
        <f t="shared" si="13"/>
        <v>3.5641989653747115</v>
      </c>
      <c r="Z13" s="15">
        <f t="shared" si="14"/>
        <v>14.101996871581767</v>
      </c>
      <c r="AA13" s="16">
        <f t="shared" si="15"/>
        <v>0.52756130692786163</v>
      </c>
      <c r="AB13" s="16">
        <f t="shared" si="8"/>
        <v>0.28648233486943164</v>
      </c>
    </row>
    <row r="14" spans="1:28" x14ac:dyDescent="0.2">
      <c r="A14" s="1" t="s">
        <v>12</v>
      </c>
      <c r="B14" s="3">
        <f>IFERROR(_xll.LastPrice(A14),"-")</f>
        <v>50.4</v>
      </c>
      <c r="C14" s="37">
        <f>_xll.LastPrice($A14)/_xll.COfficialLast($A14)-1</f>
        <v>0</v>
      </c>
      <c r="D14" s="6">
        <f>IFERROR(B14/(B14-_xll.NetChange12Months(A14))-1,"-")</f>
        <v>0.59746434231378776</v>
      </c>
      <c r="E14" s="39">
        <f>_xll.VolumeTradedToday($A14)/$U$3</f>
        <v>0</v>
      </c>
      <c r="F14" s="4">
        <f>IFERROR(_xll.TotalIssue(A14)/$U$3,"-")</f>
        <v>336.13888900000001</v>
      </c>
      <c r="G14" s="4">
        <f>IFERROR(_xll.OwnShares(A14)/$U$3,"-")</f>
        <v>6.1062370000000001</v>
      </c>
      <c r="H14" s="4">
        <f>IFERROR(F14-G14,"-")</f>
        <v>330.03265199999998</v>
      </c>
      <c r="I14" s="9">
        <f t="shared" si="0"/>
        <v>16633.645660799997</v>
      </c>
      <c r="J14" s="2" t="str">
        <f>_xll.FinancialsCurrency(A14)</f>
        <v>ISK</v>
      </c>
      <c r="K14" s="5">
        <f>IF(J14="ISK",1,_xll.CrossRate(CONCATENATE("ISK",J14)))</f>
        <v>1</v>
      </c>
      <c r="L14" s="4">
        <f t="shared" si="1"/>
        <v>16633.645660799997</v>
      </c>
      <c r="M14" s="19">
        <f>_xll.ReleaseDateD($A14,$U$2)</f>
        <v>42277</v>
      </c>
      <c r="N14" s="4">
        <f>_xll.KeyLookupD($A14,$U$2,"421")/$U$3</f>
        <v>1949</v>
      </c>
      <c r="O14" s="4">
        <f>_xll.KeyLookupD($A14,$U$2,"422")/$U$3</f>
        <v>296</v>
      </c>
      <c r="P14" s="4">
        <f>_xll.KeyLookupD($A14,$U$2,"Cash")/$U$3</f>
        <v>803</v>
      </c>
      <c r="Q14" s="4">
        <f t="shared" ref="Q14:Q15" si="17">IFERROR(N14+O14-P14,"-")</f>
        <v>1442</v>
      </c>
      <c r="R14" s="4">
        <f t="shared" ref="R14:R15" si="18">IFERROR(L14-Q14,"-")</f>
        <v>15191.645660799997</v>
      </c>
      <c r="S14" s="4">
        <f>IFERROR(_xll.EBITDATrailingTwelveMonths(A14)/$U$3,"-")</f>
        <v>3284</v>
      </c>
      <c r="T14" s="4">
        <f>_xll.KeyLookupD($A14,$U$2,"Equity")/$U$3</f>
        <v>9041</v>
      </c>
      <c r="U14" s="4">
        <f>IFERROR(_xll.EarningsTrailingTwelveMonhts(A14)/$U$3,"-")</f>
        <v>1311</v>
      </c>
      <c r="V14" s="4">
        <f>IFERROR(_xll.KeyLookupD($A14,$U$2,"TotalAssets")/$U$3,"-")</f>
        <v>15614</v>
      </c>
      <c r="W14" s="9">
        <f>_xll.KeyLookupD($A14,$M14-360,"Equity")/$U$3</f>
        <v>8344</v>
      </c>
      <c r="X14" s="15">
        <f t="shared" ref="X14:X15" si="19">IFERROR(R14/S14,"-")</f>
        <v>4.6259578747868444</v>
      </c>
      <c r="Y14" s="15">
        <f t="shared" ref="Y14:Y15" si="20">IFERROR(L14/T14,"-")</f>
        <v>1.8398015331047448</v>
      </c>
      <c r="Z14" s="15">
        <f t="shared" ref="Z14:Z15" si="21">IFERROR(L14/U14,"-")</f>
        <v>12.68775412723112</v>
      </c>
      <c r="AA14" s="16">
        <f t="shared" ref="AA14:AA15" si="22">IFERROR(T14/V14,"-")</f>
        <v>0.57903163827334447</v>
      </c>
      <c r="AB14" s="16">
        <f t="shared" si="8"/>
        <v>0.15711888782358582</v>
      </c>
    </row>
    <row r="15" spans="1:28" x14ac:dyDescent="0.2">
      <c r="A15" s="1" t="s">
        <v>34</v>
      </c>
      <c r="B15" s="3">
        <f>IFERROR(_xll.LastPrice(A15),"-")</f>
        <v>3.59</v>
      </c>
      <c r="C15" s="37">
        <f>_xll.LastPrice($A15)/_xll.COfficialLast($A15)-1</f>
        <v>2.7932960893854997E-3</v>
      </c>
      <c r="D15" s="6">
        <f>IFERROR(B15/(B15-_xll.NetChange12Months(A15))-1,"-")</f>
        <v>2.5714285714285579E-2</v>
      </c>
      <c r="E15" s="39">
        <f>_xll.VolumeTradedToday($A15)/$U$3</f>
        <v>3.9425089999999998</v>
      </c>
      <c r="F15" s="4">
        <f>IFERROR(_xll.TotalIssue(A15)/$U$3,"-")</f>
        <v>9650</v>
      </c>
      <c r="G15" s="4">
        <f>IFERROR(_xll.OwnShares(A15)/$U$3,"-")</f>
        <v>1.9000000000000001E-5</v>
      </c>
      <c r="H15" s="4">
        <f>IFERROR(F15-G15,"-")</f>
        <v>9649.9999810000008</v>
      </c>
      <c r="I15" s="9">
        <f t="shared" si="0"/>
        <v>34643.49993179</v>
      </c>
      <c r="J15" s="2" t="str">
        <f>_xll.FinancialsCurrency(A15)</f>
        <v>ISK</v>
      </c>
      <c r="K15" s="5">
        <f>IF(J15="ISK",1,_xll.CrossRate(CONCATENATE("ISK",J15)))</f>
        <v>1</v>
      </c>
      <c r="L15" s="4">
        <f t="shared" si="1"/>
        <v>34643.49993179</v>
      </c>
      <c r="M15" s="19">
        <f>_xll.ReleaseDateD($A15,$U$2)</f>
        <v>42277</v>
      </c>
      <c r="N15" s="4">
        <f>_xll.KeyLookupD($A15,$U$2,"421")/$U$3</f>
        <v>3316</v>
      </c>
      <c r="O15" s="4">
        <f>_xll.KeyLookupD($A15,$U$2,"422")/$U$3</f>
        <v>0</v>
      </c>
      <c r="P15" s="4">
        <f>_xll.KeyLookupD($A15,$U$2,"Cash")/$U$3</f>
        <v>4415</v>
      </c>
      <c r="Q15" s="4">
        <f t="shared" si="17"/>
        <v>-1099</v>
      </c>
      <c r="R15" s="4">
        <f t="shared" si="18"/>
        <v>35742.49993179</v>
      </c>
      <c r="S15" s="17">
        <f>IFERROR((_xll.EBITDA($A15,2015,"6M")+_xll.EBITDA($A15,2014,"2H"))/$U$3,"-")</f>
        <v>8338</v>
      </c>
      <c r="T15" s="4">
        <f>_xll.KeyLookupD($A15,$U$2,"Equity")/$U$3</f>
        <v>32084</v>
      </c>
      <c r="U15" s="17">
        <f>IFERROR((_xll.Earnings($A15,2015,"6M")+_xll.Earnings($A15,2014,"2H"))/$U$3,"-")</f>
        <v>3261</v>
      </c>
      <c r="V15" s="4">
        <f>IFERROR(_xll.KeyLookupD($A15,$U$2,"TotalAssets")/$U$3,"-")</f>
        <v>61885</v>
      </c>
      <c r="W15" s="9">
        <f>_xll.KeyLookupD($A15,$M15-360,"Equity")/$U$3</f>
        <v>28184</v>
      </c>
      <c r="X15" s="15">
        <f t="shared" si="19"/>
        <v>4.286699440128328</v>
      </c>
      <c r="Y15" s="15">
        <f t="shared" si="20"/>
        <v>1.0797749635890164</v>
      </c>
      <c r="Z15" s="15">
        <f t="shared" si="21"/>
        <v>10.623581702480834</v>
      </c>
      <c r="AA15" s="16">
        <f t="shared" si="22"/>
        <v>0.51844550375696852</v>
      </c>
      <c r="AB15" s="16">
        <f t="shared" si="8"/>
        <v>0.11570394550099347</v>
      </c>
    </row>
    <row r="16" spans="1:28" ht="6" customHeight="1" x14ac:dyDescent="0.2">
      <c r="B16" s="3"/>
      <c r="C16" s="3"/>
      <c r="D16" s="6"/>
      <c r="E16" s="38"/>
      <c r="F16" s="4"/>
      <c r="G16" s="4"/>
      <c r="H16" s="4"/>
      <c r="I16" s="9"/>
      <c r="J16" s="2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8"/>
      <c r="Y16" s="18"/>
      <c r="Z16" s="18"/>
      <c r="AA16" s="12"/>
      <c r="AB16" s="12"/>
    </row>
    <row r="17" spans="1:29" x14ac:dyDescent="0.2">
      <c r="A17" s="24" t="s">
        <v>4</v>
      </c>
      <c r="B17" s="25">
        <f>IFERROR(_xll.LastPrice(A17),"-")</f>
        <v>9.2799999999999994</v>
      </c>
      <c r="C17" s="40">
        <f>_xll.LastPrice($A17)/_xll.COfficialLast($A17)-1</f>
        <v>-5.6910569105691144E-2</v>
      </c>
      <c r="D17" s="26">
        <f>IFERROR(B17/(B17-_xll.NetChange12Months(A17))-1,"-")</f>
        <v>0.21465968586387429</v>
      </c>
      <c r="E17" s="41">
        <f>_xll.VolumeTradedToday($A17)/$U$3</f>
        <v>35.902999000000001</v>
      </c>
      <c r="F17" s="21">
        <f>IFERROR(_xll.TotalIssue(A17)/$U$3,"-")</f>
        <v>2438.4805160000001</v>
      </c>
      <c r="G17" s="21">
        <f>IFERROR(_xll.OwnShares(A17)/$U$3,"-")</f>
        <v>110.88020299999999</v>
      </c>
      <c r="H17" s="21">
        <f>IFERROR(F17-G17,"-")</f>
        <v>2327.6003129999999</v>
      </c>
      <c r="I17" s="21">
        <f>IFERROR(H17*B17,"-")</f>
        <v>21600.130904639998</v>
      </c>
      <c r="J17" s="22" t="str">
        <f>_xll.FinancialsCurrency(A17)</f>
        <v>ISK</v>
      </c>
      <c r="K17" s="23">
        <f>IF(J17="ISK",1,_xll.CrossRate(CONCATENATE("ISK",J17)))</f>
        <v>1</v>
      </c>
      <c r="L17" s="21">
        <f>IFERROR(I17/K17,"-")</f>
        <v>21600.130904639998</v>
      </c>
      <c r="M17" s="20">
        <f>_xll.ReleaseDateD($A17,$U$2)</f>
        <v>42277</v>
      </c>
      <c r="N17" s="21"/>
      <c r="O17" s="21"/>
      <c r="P17" s="21"/>
      <c r="Q17" s="21"/>
      <c r="R17" s="21"/>
      <c r="S17" s="21">
        <f>IFERROR(_xll.EBITDATrailingTwelveMonths(A17)/$U$3,"-")</f>
        <v>3045.2739999999999</v>
      </c>
      <c r="T17" s="21">
        <f>_xll.KeyLookupD($A17,$U$2,"Equity")/$U$3</f>
        <v>14546.415000000001</v>
      </c>
      <c r="U17" s="21">
        <f>IFERROR(_xll.EarningsTrailingTwelveMonhts(A17)/$U$3,"-")</f>
        <v>2793.68</v>
      </c>
      <c r="V17" s="21">
        <f>IFERROR(_xll.KeyLookupD($A17,$U$2,"TotalAssets")/$U$3,"-")</f>
        <v>46792.932999999997</v>
      </c>
      <c r="W17" s="21">
        <f>_xll.KeyLookupD($A17,$M17-360,"Equity")/$U$3</f>
        <v>15392.123</v>
      </c>
      <c r="X17" s="15"/>
      <c r="Y17" s="15">
        <f t="shared" ref="Y17:Y19" si="23">IFERROR(L17/T17,"-")</f>
        <v>1.4849109491678876</v>
      </c>
      <c r="Z17" s="15">
        <f t="shared" ref="Z17:Z19" si="24">IFERROR(L17/U17,"-")</f>
        <v>7.7317842074396497</v>
      </c>
      <c r="AA17" s="16">
        <f t="shared" ref="AA17:AA19" si="25">IFERROR(T17/V17,"-")</f>
        <v>0.31086777569595825</v>
      </c>
      <c r="AB17" s="16">
        <f>IFERROR(U17/W17,"-")</f>
        <v>0.18150062860074598</v>
      </c>
    </row>
    <row r="18" spans="1:29" x14ac:dyDescent="0.2">
      <c r="A18" s="24" t="s">
        <v>5</v>
      </c>
      <c r="B18" s="25">
        <f>IFERROR(_xll.LastPrice(A18),"-")</f>
        <v>13.55</v>
      </c>
      <c r="C18" s="40">
        <f>_xll.LastPrice($A18)/_xll.COfficialLast($A18)-1</f>
        <v>3.7037037037037646E-3</v>
      </c>
      <c r="D18" s="26">
        <f>IFERROR(B18/(B18-_xll.NetChange12Months(A18))-1,"-")</f>
        <v>0.13105175292153581</v>
      </c>
      <c r="E18" s="41">
        <f>_xll.VolumeTradedToday($A18)/$U$3</f>
        <v>3.0444819999999999</v>
      </c>
      <c r="F18" s="21">
        <f>IFERROR(_xll.TotalIssue(A18)/$U$3,"-")</f>
        <v>1592.520994</v>
      </c>
      <c r="G18" s="21">
        <f>IFERROR(_xll.OwnShares(A18)/$U$3,"-")</f>
        <v>17.180422</v>
      </c>
      <c r="H18" s="21">
        <f>IFERROR(F18-G18,"-")</f>
        <v>1575.3405720000001</v>
      </c>
      <c r="I18" s="21">
        <f>IFERROR(H18*B18,"-")</f>
        <v>21345.864750600002</v>
      </c>
      <c r="J18" s="22" t="str">
        <f>_xll.FinancialsCurrency(A18)</f>
        <v>ISK</v>
      </c>
      <c r="K18" s="23">
        <f>IF(J18="ISK",1,_xll.CrossRate(CONCATENATE("ISK",J18)))</f>
        <v>1</v>
      </c>
      <c r="L18" s="21">
        <f>IFERROR(I18/K18,"-")</f>
        <v>21345.864750600002</v>
      </c>
      <c r="M18" s="20">
        <f>_xll.ReleaseDateD($A18,$U$2)</f>
        <v>42185</v>
      </c>
      <c r="N18" s="21"/>
      <c r="O18" s="21"/>
      <c r="P18" s="21"/>
      <c r="Q18" s="21"/>
      <c r="R18" s="21"/>
      <c r="S18" s="21">
        <f>IFERROR(_xll.EBITDATrailingTwelveMonths(A18)/$U$3,"-")</f>
        <v>2921.0639999999999</v>
      </c>
      <c r="T18" s="21">
        <f>_xll.KeyLookupD($A18,$U$2,"Equity")/$U$3</f>
        <v>15193.299000000001</v>
      </c>
      <c r="U18" s="21">
        <f>IFERROR(_xll.EarningsTrailingTwelveMonhts(A18)/$U$3,"-")</f>
        <v>2203.8220000000001</v>
      </c>
      <c r="V18" s="21">
        <f>IFERROR(_xll.KeyLookupD($A18,$U$2,"TotalAssets")/$U$3,"-")</f>
        <v>44358.561000000002</v>
      </c>
      <c r="W18" s="21">
        <f>_xll.KeyLookupD($A18,$M18-360,"Equity")/$U$3</f>
        <v>16986.698</v>
      </c>
      <c r="X18" s="15"/>
      <c r="Y18" s="15">
        <f t="shared" si="23"/>
        <v>1.4049525880192313</v>
      </c>
      <c r="Z18" s="15">
        <f t="shared" si="24"/>
        <v>9.6858388520488496</v>
      </c>
      <c r="AA18" s="16">
        <f t="shared" si="25"/>
        <v>0.34251108822037757</v>
      </c>
      <c r="AB18" s="16">
        <f>IFERROR(U18/W18,"-")</f>
        <v>0.129738104486228</v>
      </c>
    </row>
    <row r="19" spans="1:29" s="10" customFormat="1" x14ac:dyDescent="0.2">
      <c r="A19" s="24" t="s">
        <v>6</v>
      </c>
      <c r="B19" s="25">
        <f>IFERROR(_xll.LastPrice(A19),"-")</f>
        <v>24.225000000000001</v>
      </c>
      <c r="C19" s="40">
        <f>_xll.LastPrice($A19)/_xll.COfficialLast($A19)-1</f>
        <v>3.304904051172719E-2</v>
      </c>
      <c r="D19" s="26">
        <f>IFERROR(B19/(B19-_xll.NetChange12Months(A19))-1,"-")</f>
        <v>-1.4242115971515812E-2</v>
      </c>
      <c r="E19" s="41">
        <f>_xll.VolumeTradedToday($A19)/$U$3</f>
        <v>9.5127009999999999</v>
      </c>
      <c r="F19" s="21">
        <f>IFERROR(_xll.TotalIssue(A19)/$U$3,"-")</f>
        <v>739.39388799999995</v>
      </c>
      <c r="G19" s="21">
        <f>IFERROR(_xll.OwnShares(A19)/$U$3,"-")</f>
        <v>9.7363850000000003</v>
      </c>
      <c r="H19" s="21">
        <f>IFERROR(F19-G19,"-")</f>
        <v>729.65750299999991</v>
      </c>
      <c r="I19" s="21">
        <f>IFERROR(H19*B19,"-")</f>
        <v>17675.953010174999</v>
      </c>
      <c r="J19" s="22" t="str">
        <f>_xll.FinancialsCurrency(A19)</f>
        <v>ISK</v>
      </c>
      <c r="K19" s="23">
        <f>IF(J19="ISK",1,_xll.CrossRate(CONCATENATE("ISK",J19)))</f>
        <v>1</v>
      </c>
      <c r="L19" s="21">
        <f>IFERROR(I19/K19,"-")</f>
        <v>17675.953010174999</v>
      </c>
      <c r="M19" s="20">
        <f>_xll.ReleaseDateD($A19,$U$2)</f>
        <v>42277</v>
      </c>
      <c r="N19" s="21"/>
      <c r="O19" s="21"/>
      <c r="P19" s="21"/>
      <c r="Q19" s="21"/>
      <c r="R19" s="21"/>
      <c r="S19" s="21">
        <f>IFERROR(_xll.EBITDATrailingTwelveMonths(A19)/$U$3,"-")</f>
        <v>2841.623</v>
      </c>
      <c r="T19" s="21">
        <f>_xll.KeyLookupD($A19,$U$2,"Equity")/$U$3</f>
        <v>11781.316999999999</v>
      </c>
      <c r="U19" s="21">
        <f>IFERROR(_xll.EarningsTrailingTwelveMonhts(A19)/$U$3,"-")</f>
        <v>2509.1039999999998</v>
      </c>
      <c r="V19" s="21">
        <f>IFERROR(_xll.KeyLookupD($A19,$U$2,"TotalAssets")/$U$3,"-")</f>
        <v>33046.938000000002</v>
      </c>
      <c r="W19" s="21">
        <f>_xll.KeyLookupD($A19,$M19-360,"Equity")/$U$3</f>
        <v>12062.235000000001</v>
      </c>
      <c r="X19" s="15"/>
      <c r="Y19" s="15">
        <f t="shared" si="23"/>
        <v>1.5003376116757574</v>
      </c>
      <c r="Z19" s="15">
        <f t="shared" si="24"/>
        <v>7.0447271257688007</v>
      </c>
      <c r="AA19" s="16">
        <f t="shared" si="25"/>
        <v>0.35650252982591002</v>
      </c>
      <c r="AB19" s="16">
        <f>IFERROR(U19/W19,"-")</f>
        <v>0.20801319158514153</v>
      </c>
    </row>
    <row r="20" spans="1:29" s="10" customFormat="1" ht="6" customHeight="1" x14ac:dyDescent="0.2">
      <c r="E20" s="38"/>
    </row>
    <row r="21" spans="1:29" s="10" customFormat="1" x14ac:dyDescent="0.2">
      <c r="A21" s="30" t="s">
        <v>8</v>
      </c>
      <c r="B21" s="31">
        <f>IFERROR(_xll.LastPrice(A21),"-")</f>
        <v>19.100000000000001</v>
      </c>
      <c r="C21" s="42">
        <f>_xll.LastPrice($A21)/_xll.COfficialLast($A21)-1</f>
        <v>0</v>
      </c>
      <c r="D21" s="33">
        <f>IFERROR(B21/(B21-_xll.NetChange12Months(A21))-1,"-")</f>
        <v>0.33473095737246661</v>
      </c>
      <c r="E21" s="43">
        <f>_xll.VolumeTradedToday($A21)/$U$3</f>
        <v>0</v>
      </c>
      <c r="F21" s="32">
        <f>IFERROR(_xll.TotalIssue(A21)/$U$3,"-")</f>
        <v>1428.7</v>
      </c>
      <c r="G21" s="32">
        <f>IFERROR(_xll.OwnShares(A21)/$U$3,"-")</f>
        <v>0</v>
      </c>
      <c r="H21" s="32">
        <f>IFERROR(F21-G21,"-")</f>
        <v>1428.7</v>
      </c>
      <c r="I21" s="32">
        <f>IFERROR(H21*B21,"-")</f>
        <v>27288.170000000002</v>
      </c>
      <c r="J21" s="34" t="str">
        <f>_xll.FinancialsCurrency(A21)</f>
        <v>ISK</v>
      </c>
      <c r="K21" s="35">
        <f>IF(J21="ISK",1,_xll.CrossRate(CONCATENATE("ISK",J21)))</f>
        <v>1</v>
      </c>
      <c r="L21" s="32">
        <f>IFERROR(I21/K21,"-")</f>
        <v>27288.170000000002</v>
      </c>
      <c r="M21" s="36">
        <f>_xll.ReleaseDateD($A21,$U$2)</f>
        <v>42185</v>
      </c>
      <c r="N21" s="32">
        <f>_xll.KeyLookupD($A21,$U$2,"421")/$U$3</f>
        <v>797</v>
      </c>
      <c r="O21" s="32">
        <f>_xll.KeyLookupD($A21,$U$2,"422")/$U$3</f>
        <v>4813</v>
      </c>
      <c r="P21" s="32">
        <f>_xll.KeyLookupD($A21,$U$2,"Cash")/$U$3</f>
        <v>595</v>
      </c>
      <c r="Q21" s="32">
        <f t="shared" ref="Q21:Q23" si="26">IFERROR(N21+O21-P21,"-")</f>
        <v>5015</v>
      </c>
      <c r="R21" s="32">
        <f t="shared" ref="R21:R23" si="27">IFERROR(L21-Q21,"-")</f>
        <v>22273.170000000002</v>
      </c>
      <c r="S21" s="32">
        <f>IFERROR(_xll.EBITDATrailingTwelveMonths(A21)/$U$3,"-")</f>
        <v>3419</v>
      </c>
      <c r="T21" s="32">
        <f>_xll.KeyLookupD($A21,$U$2,"Equity")/$U$3</f>
        <v>19102</v>
      </c>
      <c r="U21" s="32">
        <f>IFERROR(_xll.EarningsTrailingTwelveMonhts(A21)/$U$3,"-")</f>
        <v>2693</v>
      </c>
      <c r="V21" s="32">
        <f>IFERROR(_xll.KeyLookupD($A21,$U$2,"TotalAssets")/$U$3,"-")</f>
        <v>62198</v>
      </c>
      <c r="W21" s="21">
        <f>_xll.KeyLookupD($A21,$M21-360,"Equity")/$U$3</f>
        <v>16409</v>
      </c>
      <c r="X21" s="15">
        <f t="shared" ref="X21:X23" si="28">IFERROR(R21/S21,"-")</f>
        <v>6.5145276396607201</v>
      </c>
      <c r="Y21" s="15">
        <f t="shared" ref="Y21:Y23" si="29">IFERROR(L21/T21,"-")</f>
        <v>1.4285504135692599</v>
      </c>
      <c r="Z21" s="15">
        <f t="shared" ref="Z21:Z23" si="30">IFERROR(L21/U21,"-")</f>
        <v>10.133000371333086</v>
      </c>
      <c r="AA21" s="16">
        <f t="shared" ref="AA21:AA23" si="31">IFERROR(T21/V21,"-")</f>
        <v>0.30711598443679861</v>
      </c>
      <c r="AB21" s="16">
        <f>IFERROR(U21/W21,"-")</f>
        <v>0.16411725272716193</v>
      </c>
    </row>
    <row r="22" spans="1:29" s="10" customFormat="1" x14ac:dyDescent="0.2">
      <c r="A22" s="30" t="s">
        <v>9</v>
      </c>
      <c r="B22" s="31">
        <f>IFERROR(_xll.LastPrice(A22),"-")</f>
        <v>85.5</v>
      </c>
      <c r="C22" s="42">
        <f>_xll.LastPrice($A22)/_xll.COfficialLast($A22)-1</f>
        <v>0</v>
      </c>
      <c r="D22" s="33">
        <f>IFERROR(B22/(B22-_xll.NetChange12Months(A22))-1,"-")</f>
        <v>0.34012539184952995</v>
      </c>
      <c r="E22" s="43">
        <f>_xll.VolumeTradedToday($A22)/$U$3</f>
        <v>0</v>
      </c>
      <c r="F22" s="32">
        <f>IFERROR(_xll.TotalIssue(A22)/$U$3,"-")</f>
        <v>754.71386099999995</v>
      </c>
      <c r="G22" s="32">
        <f>IFERROR(_xll.OwnShares(A22)/$U$3,"-")</f>
        <v>4.7873260000000002</v>
      </c>
      <c r="H22" s="32">
        <f>IFERROR(F22-G22,"-")</f>
        <v>749.92653499999994</v>
      </c>
      <c r="I22" s="32">
        <f>IFERROR(H22*B22,"-")</f>
        <v>64118.718742499994</v>
      </c>
      <c r="J22" s="34" t="str">
        <f>_xll.FinancialsCurrency(A22)</f>
        <v>ISK</v>
      </c>
      <c r="K22" s="35">
        <f>IF(J22="ISK",1,_xll.CrossRate(CONCATENATE("ISK",J22)))</f>
        <v>1</v>
      </c>
      <c r="L22" s="32">
        <f>IFERROR(I22/K22,"-")</f>
        <v>64118.718742499994</v>
      </c>
      <c r="M22" s="36">
        <f>_xll.ReleaseDateD($A22,$U$2)</f>
        <v>42185</v>
      </c>
      <c r="N22" s="32">
        <f>_xll.KeyLookupD($A22,$U$2,"421")/$U$3</f>
        <v>1174</v>
      </c>
      <c r="O22" s="32">
        <f>_xll.KeyLookupD($A22,$U$2,"422")/$U$3</f>
        <v>1987</v>
      </c>
      <c r="P22" s="32">
        <f>_xll.KeyLookupD($A22,$U$2,"Cash")/$U$3</f>
        <v>1099</v>
      </c>
      <c r="Q22" s="32">
        <f t="shared" si="26"/>
        <v>2062</v>
      </c>
      <c r="R22" s="32">
        <f t="shared" si="27"/>
        <v>62056.718742499994</v>
      </c>
      <c r="S22" s="17">
        <f>IFERROR((_xll.EBITDA($A22,2015,"6M")+_xll.EBITDA($A22,2014,"2H"))/$U$3,"-")</f>
        <v>5890</v>
      </c>
      <c r="T22" s="32">
        <f>_xll.KeyLookupD($A22,$U$2,"Equity")/$U$3</f>
        <v>43033</v>
      </c>
      <c r="U22" s="17">
        <f>IFERROR((_xll.Earnings($A22,2015,"6M")+_xll.Earnings($A22,2014,"2H"))/$U$3,"-")</f>
        <v>3696</v>
      </c>
      <c r="V22" s="32">
        <f>IFERROR(_xll.KeyLookupD($A22,$U$2,"TotalAssets")/$U$3,"-")</f>
        <v>108623</v>
      </c>
      <c r="W22" s="21">
        <f>_xll.KeyLookupD($A22,$M22-360,"Equity")/$U$3</f>
        <v>22290</v>
      </c>
      <c r="X22" s="15">
        <f t="shared" si="28"/>
        <v>10.53594545713073</v>
      </c>
      <c r="Y22" s="15">
        <f t="shared" si="29"/>
        <v>1.4899895136871701</v>
      </c>
      <c r="Z22" s="15">
        <f t="shared" si="30"/>
        <v>17.348138187905842</v>
      </c>
      <c r="AA22" s="16">
        <f t="shared" si="31"/>
        <v>0.39616839895786343</v>
      </c>
      <c r="AB22" s="16">
        <f>IFERROR(U22/W22,"-")</f>
        <v>0.16581426648721401</v>
      </c>
    </row>
    <row r="23" spans="1:29" x14ac:dyDescent="0.2">
      <c r="A23" s="30" t="s">
        <v>10</v>
      </c>
      <c r="B23" s="31">
        <f>IFERROR(_xll.LastPrice(A23),"-")</f>
        <v>8.06</v>
      </c>
      <c r="C23" s="42">
        <f>_xll.LastPrice($A23)/_xll.COfficialLast($A23)-1</f>
        <v>0</v>
      </c>
      <c r="D23" s="33">
        <f>IFERROR(B23/(B23-_xll.NetChange12Months(A23))-1,"-")</f>
        <v>0.21021021021021036</v>
      </c>
      <c r="E23" s="43">
        <f>_xll.VolumeTradedToday($A23)/$U$3</f>
        <v>10</v>
      </c>
      <c r="F23" s="32">
        <f>IFERROR(_xll.TotalIssue(A23)/$U$3,"-")</f>
        <v>3465.1804350000002</v>
      </c>
      <c r="G23" s="32">
        <f>IFERROR(_xll.OwnShares(A23)/$U$3,"-")</f>
        <v>8.8000000000000007</v>
      </c>
      <c r="H23" s="32">
        <f>IFERROR(F23-G23,"-")</f>
        <v>3456.380435</v>
      </c>
      <c r="I23" s="32">
        <f>IFERROR(H23*B23,"-")</f>
        <v>27858.426306100002</v>
      </c>
      <c r="J23" s="34" t="str">
        <f>_xll.FinancialsCurrency(A23)</f>
        <v>ISK</v>
      </c>
      <c r="K23" s="35">
        <f>IF(J23="ISK",1,_xll.CrossRate(CONCATENATE("ISK",J23)))</f>
        <v>1</v>
      </c>
      <c r="L23" s="32">
        <f>IFERROR(I23/K23,"-")</f>
        <v>27858.426306100002</v>
      </c>
      <c r="M23" s="36">
        <f>_xll.ReleaseDateD($A23,$U$2)</f>
        <v>42185</v>
      </c>
      <c r="N23" s="32">
        <f>_xll.KeyLookupD($A23,$U$2,"421")/$U$3</f>
        <v>604</v>
      </c>
      <c r="O23" s="32">
        <f>_xll.KeyLookupD($A23,$U$2,"422")/$U$3</f>
        <v>1264</v>
      </c>
      <c r="P23" s="32">
        <f>_xll.KeyLookupD($A23,$U$2,"Cash")/$U$3</f>
        <v>1499</v>
      </c>
      <c r="Q23" s="32">
        <f t="shared" si="26"/>
        <v>369</v>
      </c>
      <c r="R23" s="32">
        <f t="shared" si="27"/>
        <v>27489.426306100002</v>
      </c>
      <c r="S23" s="17">
        <f>IFERROR((_xll.EBITDA($A23,2015,"6M")+_xll.EBITDA($A23,2014,"2H"))/$U$3,"-")</f>
        <v>4129</v>
      </c>
      <c r="T23" s="32">
        <f>_xll.KeyLookupD($A23,$U$2,"Equity")/$U$3</f>
        <v>20432</v>
      </c>
      <c r="U23" s="17">
        <f>IFERROR((_xll.Earnings($A23,2015,"6M")+_xll.Earnings($A23,2014,"2H"))/$U$3,"-")</f>
        <v>2452</v>
      </c>
      <c r="V23" s="32">
        <f>IFERROR(_xll.KeyLookupD($A23,$U$2,"TotalAssets")/$U$3,"-")</f>
        <v>65827</v>
      </c>
      <c r="W23" s="21">
        <f>_xll.KeyLookupD($A23,$M23-360,"Equity")/$U$3</f>
        <v>8716</v>
      </c>
      <c r="X23" s="15">
        <f t="shared" si="28"/>
        <v>6.6576474463792694</v>
      </c>
      <c r="Y23" s="15">
        <f t="shared" si="29"/>
        <v>1.3634703556235319</v>
      </c>
      <c r="Z23" s="15">
        <f t="shared" si="30"/>
        <v>11.361511544086461</v>
      </c>
      <c r="AA23" s="16">
        <f t="shared" si="31"/>
        <v>0.31038935391252831</v>
      </c>
      <c r="AB23" s="16">
        <f>IFERROR(U23/W23,"-")</f>
        <v>0.28132170720513999</v>
      </c>
    </row>
    <row r="24" spans="1:29" x14ac:dyDescent="0.2">
      <c r="A24" s="10"/>
      <c r="B24" s="11"/>
      <c r="C24" s="11"/>
      <c r="D24" s="11"/>
      <c r="E24" s="11"/>
      <c r="F24" s="9"/>
      <c r="G24" s="9"/>
      <c r="H24" s="9"/>
      <c r="I24" s="12"/>
      <c r="J24" s="9"/>
      <c r="K24" s="13"/>
      <c r="L24" s="14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8"/>
      <c r="Z24" s="18"/>
      <c r="AA24" s="18"/>
      <c r="AB24" s="12"/>
      <c r="AC24" s="12"/>
    </row>
    <row r="25" spans="1:29" x14ac:dyDescent="0.2">
      <c r="A25" s="44" t="s">
        <v>46</v>
      </c>
      <c r="B25" s="44"/>
      <c r="C25" s="44"/>
    </row>
    <row r="26" spans="1:29" s="10" customFormat="1" x14ac:dyDescent="0.2">
      <c r="A26" s="45" t="s">
        <v>45</v>
      </c>
      <c r="B26" s="45"/>
      <c r="C26" s="45"/>
    </row>
    <row r="27" spans="1:29" s="10" customFormat="1" x14ac:dyDescent="0.2">
      <c r="A27" s="46" t="s">
        <v>47</v>
      </c>
      <c r="B27" s="46"/>
      <c r="C27" s="4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</sheetData>
  <mergeCells count="2">
    <mergeCell ref="U2:V2"/>
    <mergeCell ref="U3:V3"/>
  </mergeCells>
  <conditionalFormatting sqref="C6:D23">
    <cfRule type="cellIs" dxfId="1" priority="1" operator="greaterThan">
      <formula>0</formula>
    </cfRule>
    <cfRule type="cellIs" dxfId="0" priority="2" operator="lessThan">
      <formula>0</formula>
    </cfRule>
  </conditionalFormatting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KODIAK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cp:lastPrinted>2015-10-02T15:36:27Z</cp:lastPrinted>
  <dcterms:created xsi:type="dcterms:W3CDTF">2015-09-30T10:13:36Z</dcterms:created>
  <dcterms:modified xsi:type="dcterms:W3CDTF">2015-10-30T10:30:19Z</dcterms:modified>
</cp:coreProperties>
</file>